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xGvhw7dXdKAB7/lEa6W5WLvQ2R8hat885S024Y2AsBa3P3OH+nxkVaypTVf1s6kjK6cTSBmjMpYIljvdlBDGg==" workbookSaltValue="TGVVELfZ025Th7iX9jAG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AM19" i="8" l="1"/>
  <c r="F17" i="16"/>
  <c r="BL17" i="16" s="1"/>
  <c r="AC19" i="8"/>
  <c r="AK19" i="8"/>
  <c r="AA19" i="8"/>
  <c r="AI19" i="8"/>
  <c r="S13" i="12"/>
  <c r="BE12" i="8"/>
  <c r="BG12" i="8"/>
  <c r="C12" i="14"/>
  <c r="K12" i="14" s="1"/>
  <c r="R19" i="8"/>
  <c r="T19" i="8"/>
  <c r="BG10" i="8"/>
  <c r="K10" i="7" s="1"/>
  <c r="H9" i="7"/>
  <c r="X12" i="21"/>
  <c r="BL9" i="11"/>
  <c r="BG10" i="11"/>
  <c r="BM16" i="11"/>
  <c r="BK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L9" i="2"/>
  <c r="T9" i="11"/>
  <c r="BF11" i="11"/>
  <c r="BH11" i="16"/>
  <c r="BH17" i="16"/>
  <c r="P17" i="17"/>
  <c r="BL17" i="11"/>
  <c r="BF10" i="11"/>
  <c r="BK9" i="11"/>
  <c r="BK15" i="11"/>
  <c r="X9" i="17"/>
  <c r="AP10" i="21"/>
  <c r="AA16" i="16"/>
  <c r="AA11"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S10" i="14"/>
  <c r="V10" i="14" s="1"/>
  <c r="S17" i="14"/>
  <c r="V17" i="14" s="1"/>
  <c r="R10" i="14"/>
  <c r="R12" i="14"/>
  <c r="R16" i="14"/>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P20" i="20"/>
  <c r="AL20" i="20"/>
  <c r="Y20" i="20"/>
  <c r="AE20" i="20"/>
  <c r="G13" i="14"/>
  <c r="T20" i="21"/>
  <c r="K15" i="12" l="1"/>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<sst xmlns="http://schemas.openxmlformats.org/spreadsheetml/2006/main" count="2094" uniqueCount="912">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</sst>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6K67nhgHAC1uHwNmC6JcR6wt8BUFNXJpV0xwvFlKiFTnWYzajYfPImvifDpGCvSCdtCzrajMmy2ctDg463t4Q==" saltValue="OGgL0CLZolFWUp1mIr7a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v>
      </c>
      <c r="F10" s="229">
        <f>IF(ISNUMBER(Datos!K10),Datos!K10," - ")</f>
        <v>0</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45.584000000000003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360</v>
      </c>
      <c r="D16" s="228">
        <f>IF(ISNUMBER(IF(D_I="SI",Datos!I16,Datos!I16+Datos!AC16)),IF(D_I="SI",Datos!I16,Datos!I16+Datos!AC16)," - ")</f>
        <v>355</v>
      </c>
      <c r="E16" s="229">
        <f>IF(ISNUMBER(IF(D_I="SI",Datos!J16,Datos!J16+Datos!AD16)),IF(D_I="SI",Datos!J16,Datos!J16+Datos!AD16)," - ")</f>
        <v>276</v>
      </c>
      <c r="F16" s="229">
        <f>IF(ISNUMBER(IF(D_I="SI",Datos!K16,Datos!K16+Datos!AE16)),IF(D_I="SI",Datos!K16,Datos!K16+Datos!AE16)," - ")</f>
        <v>224</v>
      </c>
      <c r="G16" s="1037" t="str">
        <f>IF(Datos!E16&lt;&gt;"",Datos!E16,Datos!D16)</f>
        <v>04</v>
      </c>
      <c r="H16" s="230">
        <f>IF(ISNUMBER(IF(D_I="SI",Datos!L16,Datos!L16+Datos!AF16)),IF(D_I="SI",Datos!L16,Datos!L16+Datos!AF16)," - ")</f>
        <v>412</v>
      </c>
      <c r="I16" s="1047" t="str">
        <f>IF(ISNUMBER(Datos!AS16/Datos!BM16),Datos!AS16/Datos!BM16," - ")</f>
        <v xml:space="preserve"> - </v>
      </c>
      <c r="J16" s="1048">
        <f>IF(ISNUMBER(Datos!BY16/Datos!CN16),Datos!BY16/Datos!CN16," - ")</f>
        <v>0</v>
      </c>
      <c r="K16" s="233">
        <f t="shared" si="3"/>
        <v>0.14444444444444443</v>
      </c>
      <c r="L16" s="1028">
        <f>IF(ISNUMBER(NºAsuntos!I16/NºAsuntos!G16),(NºAsuntos!I16/NºAsuntos!G16)*11," - ")</f>
        <v>20.232142857142858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v>
      </c>
      <c r="D17" s="228">
        <f>IF(ISNUMBER(IF(D_I="SI",Datos!I17,Datos!I17+Datos!AC17)),IF(D_I="SI",Datos!I17,Datos!I17+Datos!AC17)," - ")</f>
        <v>34</v>
      </c>
      <c r="E17" s="229">
        <f>IF(ISNUMBER(IF(D_I="SI",Datos!J17,Datos!J17+Datos!AD17)),IF(D_I="SI",Datos!J17,Datos!J17+Datos!AD17)," - ")</f>
        <v>30</v>
      </c>
      <c r="F17" s="229">
        <f>IF(ISNUMBER(IF(D_I="SI",Datos!K17,Datos!K17+Datos!AE17)),IF(D_I="SI",Datos!K17,Datos!K17+Datos!AE17)," - ")</f>
        <v>19</v>
      </c>
      <c r="G17" s="1037" t="str">
        <f>IF(Datos!E17&lt;&gt;"",Datos!E17,Datos!D17)</f>
        <v>37</v>
      </c>
      <c r="H17" s="230">
        <f>IF(ISNUMBER(IF(D_I="SI",Datos!L17,Datos!L17+Datos!AF17)),IF(D_I="SI",Datos!L17,Datos!L17+Datos!AF17)," - ")</f>
        <v>45</v>
      </c>
      <c r="I17" s="1047" t="str">
        <f>IF(ISNUMBER(Datos!AS17/Datos!BM17),Datos!AS17/Datos!BM17," - ")</f>
        <v xml:space="preserve"> - </v>
      </c>
      <c r="J17" s="1048" t="str">
        <f>IF(ISNUMBER((Datos!BY17+Datos!BZ17)/Datos!CN17),(Datos!BY17+Datos!BZ17)/Datos!CN17," - ")</f>
        <v xml:space="preserve"> - </v>
      </c>
      <c r="K17" s="233">
        <f t="shared" si="3"/>
        <v>0.3235294117647059</v>
      </c>
      <c r="L17" s="1028">
        <f>IF(ISNUMBER(NºAsuntos!I17/NºAsuntos!G17),(NºAsuntos!I17/NºAsuntos!G17)*11," - ")</f>
        <v>26.052631578947366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394</v>
      </c>
      <c r="D18" s="1052">
        <f>SUBTOTAL(9,D15:D17)</f>
        <v>389</v>
      </c>
      <c r="E18" s="1053">
        <f>SUBTOTAL(9,E15:E17)</f>
        <v>306</v>
      </c>
      <c r="F18" s="1053">
        <f>SUBTOTAL(9,F15:F17)</f>
        <v>243</v>
      </c>
      <c r="G18" s="1055" t="str">
        <f ca="1">INDIRECT(CONCATENATE("G",ROW()-1))</f>
        <v>37</v>
      </c>
      <c r="H18" s="1056">
        <f ca="1">SUMIF(G$14:G17,G18,H$14:H17)</f>
        <v>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401</v>
      </c>
      <c r="D19" s="1074">
        <f>SUBTOTAL(9,D9:D18)</f>
        <v>396</v>
      </c>
      <c r="E19" s="1075">
        <f>SUBTOTAL(9,E9:E18)</f>
        <v>307</v>
      </c>
      <c r="F19" s="1075">
        <f>SUBTOTAL(9,F9:F18)</f>
        <v>243</v>
      </c>
      <c r="G19" s="1076"/>
      <c r="H19" s="1077">
        <f ca="1">SUMIF(B9:B18,"TOTAL",H9:H18)</f>
        <v>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6H5gXXWNq1xv9rcSg3fJXWm9Mj/YQs397ozOSDb23frKXLacdVKYy4cY05CBTBpKz9o2KM8HQMGQVt7mHN9Yw==" saltValue="SDbSZlmYGNNxaLQqDa+LR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E/mecTIS9cDjr6stHpMX0iwcvArkRns1u9iHuNvd4BjN5XWiPuV63QkYMz/Aim8o8WkHco4Y5vqckDrq68UCQ==" saltValue="4Uw8eLclUO8nBSrIy+ug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1</v>
      </c>
      <c r="K10" s="184">
        <v>0</v>
      </c>
      <c r="L10" s="184">
        <v>8</v>
      </c>
      <c r="M10" s="184">
        <v>0</v>
      </c>
      <c r="N10" s="184">
        <v>0</v>
      </c>
      <c r="O10" s="184">
        <v>0</v>
      </c>
      <c r="P10" s="184">
        <v>0</v>
      </c>
      <c r="Q10" s="184">
        <v>0</v>
      </c>
      <c r="R10" s="184">
        <v>0</v>
      </c>
      <c r="S10" s="184">
        <v>2</v>
      </c>
      <c r="T10" s="184">
        <v>1</v>
      </c>
      <c r="U10" s="184">
        <v>0</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836</v>
      </c>
      <c r="J12" s="186">
        <v>374</v>
      </c>
      <c r="K12" s="186">
        <v>224</v>
      </c>
      <c r="L12" s="186">
        <v>986</v>
      </c>
      <c r="M12" s="186">
        <v>57</v>
      </c>
      <c r="N12" s="186">
        <v>91</v>
      </c>
      <c r="O12" s="184">
        <v>96</v>
      </c>
      <c r="P12" s="186">
        <v>74</v>
      </c>
      <c r="Q12" s="186">
        <v>34</v>
      </c>
      <c r="R12" s="186">
        <v>996</v>
      </c>
      <c r="S12" s="186">
        <v>535</v>
      </c>
      <c r="T12" s="186">
        <v>302</v>
      </c>
      <c r="U12" s="186">
        <v>183</v>
      </c>
      <c r="V12" s="186">
        <v>654</v>
      </c>
      <c r="W12" s="186">
        <v>74</v>
      </c>
      <c r="X12" s="192">
        <v>56</v>
      </c>
      <c r="Y12" s="194">
        <v>53</v>
      </c>
      <c r="Z12" s="184">
        <v>23</v>
      </c>
      <c r="AA12" s="184">
        <v>26</v>
      </c>
      <c r="AB12" s="184">
        <v>50</v>
      </c>
      <c r="AC12" s="186">
        <v>0</v>
      </c>
      <c r="AD12" s="186">
        <v>0</v>
      </c>
      <c r="AE12" s="186">
        <v>0</v>
      </c>
      <c r="AF12" s="192">
        <v>0</v>
      </c>
      <c r="AG12" s="205">
        <v>55</v>
      </c>
      <c r="AH12" s="186">
        <v>23</v>
      </c>
      <c r="AI12" s="186">
        <v>28</v>
      </c>
      <c r="AJ12" s="206">
        <v>50</v>
      </c>
      <c r="AK12" s="185">
        <v>0</v>
      </c>
      <c r="AL12" s="186">
        <v>0</v>
      </c>
      <c r="AM12" s="186">
        <v>0</v>
      </c>
      <c r="AN12" s="192">
        <v>0</v>
      </c>
      <c r="AO12" s="262">
        <v>2</v>
      </c>
      <c r="AP12" s="158">
        <v>2</v>
      </c>
      <c r="AQ12" s="158">
        <v>2</v>
      </c>
      <c r="AR12" s="157">
        <v>2</v>
      </c>
      <c r="AS12" s="343" t="s">
        <v>807</v>
      </c>
      <c r="AT12" s="206"/>
      <c r="AU12" s="205"/>
      <c r="AV12" s="206"/>
      <c r="AW12" s="205"/>
      <c r="AX12" s="206"/>
      <c r="AY12" s="126">
        <f t="shared" si="1"/>
        <v>590</v>
      </c>
      <c r="AZ12" s="127">
        <f t="shared" si="1"/>
        <v>325</v>
      </c>
      <c r="BA12" s="127">
        <f t="shared" si="1"/>
        <v>211</v>
      </c>
      <c r="BB12" s="127">
        <f t="shared" si="1"/>
        <v>704</v>
      </c>
      <c r="BC12" s="125">
        <f>IF(ISNUMBER(X12),X12," - ")</f>
        <v>56</v>
      </c>
      <c r="BD12" s="126">
        <f t="shared" si="2"/>
        <v>0.64923076923076928</v>
      </c>
      <c r="BE12" s="127">
        <f t="shared" si="3"/>
        <v>3.3364928909952605</v>
      </c>
      <c r="BF12" s="127">
        <f t="shared" si="4"/>
        <v>0.26540284360189575</v>
      </c>
      <c r="BG12" s="199">
        <f t="shared" si="5"/>
        <v>4.3364928909952605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843</v>
      </c>
      <c r="J13" s="187">
        <f t="shared" si="6"/>
        <v>375</v>
      </c>
      <c r="K13" s="187">
        <f t="shared" si="6"/>
        <v>224</v>
      </c>
      <c r="L13" s="187">
        <f t="shared" si="6"/>
        <v>994</v>
      </c>
      <c r="M13" s="187">
        <f t="shared" si="6"/>
        <v>57</v>
      </c>
      <c r="N13" s="187">
        <f t="shared" si="6"/>
        <v>91</v>
      </c>
      <c r="O13" s="187">
        <f t="shared" si="6"/>
        <v>96</v>
      </c>
      <c r="P13" s="187">
        <f t="shared" si="6"/>
        <v>74</v>
      </c>
      <c r="Q13" s="187">
        <f t="shared" si="6"/>
        <v>34</v>
      </c>
      <c r="R13" s="187">
        <f t="shared" si="6"/>
        <v>996</v>
      </c>
      <c r="S13" s="187">
        <f t="shared" si="6"/>
        <v>537</v>
      </c>
      <c r="T13" s="187">
        <f t="shared" si="6"/>
        <v>303</v>
      </c>
      <c r="U13" s="187">
        <f t="shared" si="6"/>
        <v>183</v>
      </c>
      <c r="V13" s="187">
        <f t="shared" si="6"/>
        <v>657</v>
      </c>
      <c r="W13" s="187">
        <f t="shared" si="6"/>
        <v>74</v>
      </c>
      <c r="X13" s="187">
        <f t="shared" si="6"/>
        <v>56</v>
      </c>
      <c r="Y13" s="187">
        <f t="shared" si="6"/>
        <v>53</v>
      </c>
      <c r="Z13" s="187">
        <f t="shared" si="6"/>
        <v>23</v>
      </c>
      <c r="AA13" s="187">
        <f t="shared" si="6"/>
        <v>26</v>
      </c>
      <c r="AB13" s="187">
        <f t="shared" si="6"/>
        <v>50</v>
      </c>
      <c r="AC13" s="187">
        <f t="shared" si="6"/>
        <v>0</v>
      </c>
      <c r="AD13" s="187">
        <f t="shared" si="6"/>
        <v>0</v>
      </c>
      <c r="AE13" s="187">
        <f t="shared" si="6"/>
        <v>0</v>
      </c>
      <c r="AF13" s="187">
        <f>SUBTOTAL(9,AF9:AF12)</f>
        <v>0</v>
      </c>
      <c r="AG13" s="187">
        <f t="shared" ref="AG13:AT13" si="7">SUBTOTAL(9,AG8:AG12)</f>
        <v>55</v>
      </c>
      <c r="AH13" s="187">
        <f t="shared" si="7"/>
        <v>23</v>
      </c>
      <c r="AI13" s="187">
        <f t="shared" si="7"/>
        <v>28</v>
      </c>
      <c r="AJ13" s="187">
        <f t="shared" si="7"/>
        <v>50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592</v>
      </c>
      <c r="AZ13" s="187">
        <f>SUBTOTAL(9,AZ8:AZ12)</f>
        <v>326</v>
      </c>
      <c r="BA13" s="187">
        <f>SUBTOTAL(9,BA8:BA12)</f>
        <v>211</v>
      </c>
      <c r="BB13" s="187">
        <f>SUBTOTAL(9,BB8:BB12)</f>
        <v>707</v>
      </c>
      <c r="BC13" s="187">
        <f>SUBTOTAL(9,BC8:BC12)</f>
        <v>56</v>
      </c>
      <c r="BD13" s="208">
        <f>IF(ISNUMBER(BA13/AZ13),BA13/AZ13," - ")</f>
        <v>0.64723926380368102</v>
      </c>
      <c r="BE13" s="209">
        <f>IF(ISNUMBER(BB13/BA13),BB13/BA13, " - ")</f>
        <v>3.3507109004739335</v>
      </c>
      <c r="BF13" s="209">
        <f>IF(ISNUMBER(BC13/BA13),BC13/BA13, " - ")</f>
        <v>0.26540284360189575</v>
      </c>
      <c r="BG13" s="210">
        <f>IF(ISNUMBER((AY13+AZ13)/BA13),(AY13+AZ13)/BA13," - ")</f>
        <v>4.3507109004739339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355</v>
      </c>
      <c r="J16" s="186">
        <v>276</v>
      </c>
      <c r="K16" s="186">
        <v>224</v>
      </c>
      <c r="L16" s="186">
        <v>412</v>
      </c>
      <c r="M16" s="186">
        <v>62</v>
      </c>
      <c r="N16" s="186">
        <v>101</v>
      </c>
      <c r="O16" s="184">
        <v>6</v>
      </c>
      <c r="P16" s="186">
        <v>5</v>
      </c>
      <c r="Q16" s="186">
        <v>8</v>
      </c>
      <c r="R16" s="186">
        <v>52</v>
      </c>
      <c r="S16" s="186">
        <v>258</v>
      </c>
      <c r="T16" s="186">
        <v>173</v>
      </c>
      <c r="U16" s="186">
        <v>170</v>
      </c>
      <c r="V16" s="186">
        <v>261</v>
      </c>
      <c r="W16" s="186">
        <v>30</v>
      </c>
      <c r="X16" s="192">
        <v>83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258</v>
      </c>
      <c r="AZ16" s="127">
        <f t="shared" si="9"/>
        <v>173</v>
      </c>
      <c r="BA16" s="127">
        <f t="shared" si="9"/>
        <v>170</v>
      </c>
      <c r="BB16" s="127">
        <f t="shared" si="9"/>
        <v>261</v>
      </c>
      <c r="BC16" s="125">
        <f>IF(ISNUMBER(W16),W16," - ")</f>
        <v>30</v>
      </c>
      <c r="BD16" s="126">
        <f t="shared" ref="BD16" si="11">IF(ISNUMBER(BA16/AZ16),BA16/AZ16," - ")</f>
        <v>0.98265895953757221</v>
      </c>
      <c r="BE16" s="127">
        <f t="shared" ref="BE16" si="12">IF(ISNUMBER(BB16/BA16),BB16/BA16, " - ")</f>
        <v>1.5352941176470589</v>
      </c>
      <c r="BF16" s="127">
        <f t="shared" ref="BF16" si="13">IF(ISNUMBER(BC16/BA16),BC16/BA16, " - ")</f>
        <v>0.17647058823529413</v>
      </c>
      <c r="BG16" s="199">
        <f t="shared" si="10"/>
        <v>2.5352941176470587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34</v>
      </c>
      <c r="J17" s="186">
        <v>30</v>
      </c>
      <c r="K17" s="186">
        <v>19</v>
      </c>
      <c r="L17" s="186">
        <v>45</v>
      </c>
      <c r="M17" s="186">
        <v>9</v>
      </c>
      <c r="N17" s="186">
        <v>20</v>
      </c>
      <c r="O17" s="186">
        <v>0</v>
      </c>
      <c r="P17" s="186">
        <v>0</v>
      </c>
      <c r="Q17" s="186">
        <v>0</v>
      </c>
      <c r="R17" s="186">
        <v>0</v>
      </c>
      <c r="S17" s="186">
        <v>18</v>
      </c>
      <c r="T17" s="186">
        <v>38</v>
      </c>
      <c r="U17" s="186">
        <v>38</v>
      </c>
      <c r="V17" s="186">
        <v>18</v>
      </c>
      <c r="W17" s="186">
        <v>11</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v>
      </c>
      <c r="AZ17" s="129">
        <f t="shared" si="14"/>
        <v>38</v>
      </c>
      <c r="BA17" s="129">
        <f t="shared" si="14"/>
        <v>38</v>
      </c>
      <c r="BB17" s="129">
        <f t="shared" si="14"/>
        <v>18</v>
      </c>
      <c r="BC17" s="125">
        <f>IF(ISNUMBER(W17),W17," - ")</f>
        <v>11</v>
      </c>
      <c r="BD17" s="126">
        <f>IF(ISNUMBER(BA17/AZ17),BA17/AZ17," - ")</f>
        <v>1</v>
      </c>
      <c r="BE17" s="127">
        <f>IF(ISNUMBER(BB17/BA17),BB17/BA17, " - ")</f>
        <v>0.47368421052631576</v>
      </c>
      <c r="BF17" s="127">
        <f>IF(ISNUMBER(BC17/BA17),BC17/BA17, " - ")</f>
        <v>0.28947368421052633</v>
      </c>
      <c r="BG17" s="199">
        <f>IF(ISNUMBER((AY17+AZ17)/BA17),(AY17+AZ17)/BA17," - ")</f>
        <v>1.4736842105263157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389</v>
      </c>
      <c r="J18" s="187">
        <f t="shared" si="15"/>
        <v>306</v>
      </c>
      <c r="K18" s="187">
        <f t="shared" si="15"/>
        <v>243</v>
      </c>
      <c r="L18" s="187">
        <f t="shared" si="15"/>
        <v>457</v>
      </c>
      <c r="M18" s="187">
        <f t="shared" si="15"/>
        <v>71</v>
      </c>
      <c r="N18" s="187">
        <f t="shared" si="15"/>
        <v>121</v>
      </c>
      <c r="O18" s="187">
        <f t="shared" si="15"/>
        <v>6</v>
      </c>
      <c r="P18" s="187">
        <f t="shared" si="15"/>
        <v>5</v>
      </c>
      <c r="Q18" s="187">
        <f t="shared" si="15"/>
        <v>8</v>
      </c>
      <c r="R18" s="187">
        <f t="shared" si="15"/>
        <v>52</v>
      </c>
      <c r="S18" s="187">
        <f t="shared" si="15"/>
        <v>276</v>
      </c>
      <c r="T18" s="187">
        <f t="shared" si="15"/>
        <v>211</v>
      </c>
      <c r="U18" s="187">
        <f t="shared" si="15"/>
        <v>208</v>
      </c>
      <c r="V18" s="187">
        <f t="shared" si="15"/>
        <v>279</v>
      </c>
      <c r="W18" s="187">
        <f t="shared" si="15"/>
        <v>41</v>
      </c>
      <c r="X18" s="187">
        <f t="shared" si="15"/>
        <v>98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276</v>
      </c>
      <c r="AZ18" s="187">
        <f>SUBTOTAL(9,AZ14:AZ17)</f>
        <v>211</v>
      </c>
      <c r="BA18" s="187">
        <f>SUBTOTAL(9,BA14:BA17)</f>
        <v>208</v>
      </c>
      <c r="BB18" s="187">
        <f>SUBTOTAL(9,BB14:BB17)</f>
        <v>279</v>
      </c>
      <c r="BC18" s="187">
        <f>SUBTOTAL(9,BC14:BC17)</f>
        <v>41</v>
      </c>
      <c r="BD18" s="208">
        <f>IF(ISNUMBER(BA18/AZ18),BA18/AZ18," - ")</f>
        <v>0.98578199052132698</v>
      </c>
      <c r="BE18" s="209">
        <f>IF(ISNUMBER(BB18/BA18),BB18/BA18, " - ")</f>
        <v>1.3413461538461537</v>
      </c>
      <c r="BF18" s="209">
        <f>IF(ISNUMBER(BC18/BA18),BC18/BA18, " - ")</f>
        <v>0.19711538461538461</v>
      </c>
      <c r="BG18" s="210">
        <f>IF(ISNUMBER((AY18+AZ18)/BA18),(AY18+AZ18)/BA18," - ")</f>
        <v>2.3413461538461537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1232</v>
      </c>
      <c r="J19" s="134">
        <f t="shared" si="18"/>
        <v>681</v>
      </c>
      <c r="K19" s="134">
        <f t="shared" si="18"/>
        <v>467</v>
      </c>
      <c r="L19" s="134">
        <f t="shared" si="18"/>
        <v>1451</v>
      </c>
      <c r="M19" s="134">
        <f t="shared" si="18"/>
        <v>128</v>
      </c>
      <c r="N19" s="134">
        <f t="shared" si="18"/>
        <v>212</v>
      </c>
      <c r="O19" s="134">
        <f t="shared" si="18"/>
        <v>102</v>
      </c>
      <c r="P19" s="134">
        <f t="shared" si="18"/>
        <v>79</v>
      </c>
      <c r="Q19" s="134">
        <f t="shared" si="18"/>
        <v>42</v>
      </c>
      <c r="R19" s="134">
        <f t="shared" si="18"/>
        <v>1048</v>
      </c>
      <c r="S19" s="134">
        <f t="shared" si="18"/>
        <v>813</v>
      </c>
      <c r="T19" s="134">
        <f t="shared" si="18"/>
        <v>514</v>
      </c>
      <c r="U19" s="134">
        <f t="shared" si="18"/>
        <v>391</v>
      </c>
      <c r="V19" s="134">
        <f t="shared" si="18"/>
        <v>936</v>
      </c>
      <c r="W19" s="134">
        <f t="shared" si="18"/>
        <v>115</v>
      </c>
      <c r="X19" s="134">
        <f t="shared" si="18"/>
        <v>154</v>
      </c>
      <c r="Y19" s="134">
        <f t="shared" si="18"/>
        <v>53</v>
      </c>
      <c r="Z19" s="134">
        <f t="shared" si="18"/>
        <v>23</v>
      </c>
      <c r="AA19" s="134">
        <f t="shared" si="18"/>
        <v>26</v>
      </c>
      <c r="AB19" s="134">
        <f t="shared" si="18"/>
        <v>50</v>
      </c>
      <c r="AC19" s="134">
        <f t="shared" si="18"/>
        <v>0</v>
      </c>
      <c r="AD19" s="134">
        <f t="shared" si="18"/>
        <v>0</v>
      </c>
      <c r="AE19" s="134">
        <f t="shared" si="18"/>
        <v>0</v>
      </c>
      <c r="AF19" s="134">
        <f t="shared" si="18"/>
        <v>0</v>
      </c>
      <c r="AG19" s="134">
        <f t="shared" si="18"/>
        <v>55</v>
      </c>
      <c r="AH19" s="134">
        <f t="shared" si="18"/>
        <v>23</v>
      </c>
      <c r="AI19" s="134">
        <f t="shared" si="18"/>
        <v>28</v>
      </c>
      <c r="AJ19" s="134">
        <f t="shared" si="18"/>
        <v>50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868</v>
      </c>
      <c r="AZ19" s="134">
        <f>SUBTOTAL(9,AZ9:AZ18)</f>
        <v>537</v>
      </c>
      <c r="BA19" s="134">
        <f>SUBTOTAL(9,BA9:BA18)</f>
        <v>419</v>
      </c>
      <c r="BB19" s="134">
        <f>SUBTOTAL(9,BB9:BB18)</f>
        <v>986</v>
      </c>
      <c r="BC19" s="135">
        <f>SUBTOTAL(9,BC9:BC18)</f>
        <v>97</v>
      </c>
      <c r="BD19" s="216">
        <f>IF(ISNUMBER(BA19/AZ19),BA19/AZ19," - ")</f>
        <v>0.78026070763500932</v>
      </c>
      <c r="BE19" s="213">
        <f>IF(ISNUMBER(BB19/BA19),BB19/BA19, " - ")</f>
        <v>2.3532219570405726</v>
      </c>
      <c r="BF19" s="213">
        <f>IF(ISNUMBER(BC19/BA19),BC19/BA19, " - ")</f>
        <v>0.23150357995226731</v>
      </c>
      <c r="BG19" s="135">
        <f>IF(ISNUMBER((AY19+AZ19)/BA19),(AY19+AZ19)/BA19," - ")</f>
        <v>3.3532219570405726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YPSphXH4MgabmMFyCA7tmDyZPQONjd5m2H66lq9t8DqtjxJrA0PrHwMPXxt6WtaRx7gwvMuL3PeRZ1TpdfxcA==" saltValue="aeEtJzWKDfzI4MXH20SG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v1LlaDljwzWwRuvPMXdXOx3vKMelYkaXefMj7ss3Ax08wBg70tXvCiuKD3CBUIeltOQegfUdd3m9f0JDrAZ3w==" saltValue="J8WDyxTFvZaN22wOHyRc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LAVIANA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8</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23</v>
      </c>
      <c r="O12" s="337"/>
      <c r="P12" s="337"/>
      <c r="Q12" s="229">
        <f>IF(ISNUMBER(Datos!P12),Datos!P12,0)</f>
        <v>74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996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57</v>
      </c>
      <c r="BD12" s="232">
        <f>IF(ISNUMBER(Datos!N12),Datos!N12," - ")</f>
        <v>91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0.62972292191435764</v>
      </c>
      <c r="BH12" s="263">
        <f>IF(ISNUMBER(((IF(J_V="SI",Datos!L12/Datos!K12,(Datos!L12+Datos!AB12)/(Datos!K12+Datos!AA12)))*11)/factor_trimestre),((IF(J_V="SI",Datos!L12/Datos!K12,(Datos!L12+Datos!AB12)/(Datos!K12+Datos!AA12)))*11)/factor_trimestre," - ")</f>
        <v>12.432000000000002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4.1841004184100417E-2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23</v>
      </c>
      <c r="O13" s="903">
        <f t="shared" si="0"/>
        <v>0</v>
      </c>
      <c r="P13" s="903">
        <f t="shared" si="0"/>
        <v>0</v>
      </c>
      <c r="Q13" s="902">
        <f t="shared" si="0"/>
        <v>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34</v>
      </c>
      <c r="AD13" s="902">
        <f t="shared" si="1"/>
        <v>0</v>
      </c>
      <c r="AE13" s="902">
        <f t="shared" si="1"/>
        <v>0</v>
      </c>
      <c r="AF13" s="902">
        <f t="shared" si="1"/>
        <v>8</v>
      </c>
      <c r="AG13" s="902">
        <f t="shared" si="1"/>
        <v>0</v>
      </c>
      <c r="AH13" s="902">
        <f t="shared" si="1"/>
        <v>50</v>
      </c>
      <c r="AI13" s="902">
        <f t="shared" si="1"/>
        <v>0</v>
      </c>
      <c r="AJ13" s="902">
        <f t="shared" si="1"/>
        <v>0</v>
      </c>
      <c r="AK13" s="902">
        <f t="shared" si="1"/>
        <v>0</v>
      </c>
      <c r="AL13" s="902">
        <f t="shared" si="1"/>
        <v>0</v>
      </c>
      <c r="AM13" s="902">
        <f t="shared" si="1"/>
        <v>996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v>
      </c>
      <c r="BD13" s="902">
        <f t="shared" si="1"/>
        <v>91</v>
      </c>
      <c r="BE13" s="902">
        <f t="shared" si="1"/>
        <v>0</v>
      </c>
      <c r="BF13" s="902">
        <f t="shared" si="1"/>
        <v>0</v>
      </c>
      <c r="BG13" s="902">
        <f>IF(ISNUMBER(Datos!K13/Datos!J13),Datos!K13/Datos!J13," - ")</f>
        <v>0.59733333333333338</v>
      </c>
      <c r="BH13" s="906">
        <f>IF(ISNUMBER(((Datos!L13/Datos!K13)*11)/factor_trimestre),((Datos!L13/Datos!K13)*11)/factor_trimestre," - ")</f>
        <v>13.3125</v>
      </c>
      <c r="BI13" s="902">
        <f>IF(ISNUMBER('Resol  Asuntos'!D13/NºAsuntos!G13),'Resol  Asuntos'!D13/NºAsuntos!G13," - ")</f>
        <v>0.22800000000000001</v>
      </c>
      <c r="BJ13" s="902" t="str">
        <f>IF(ISNUMBER(Datos!CI13/Datos!CJ13),Datos!CI13/Datos!CJ13," - ")</f>
        <v xml:space="preserve"> - </v>
      </c>
      <c r="BK13" s="902">
        <f>SUBTOTAL(9,BK8:BK12)</f>
        <v>0</v>
      </c>
      <c r="BL13" s="902">
        <f>IF(ISNUMBER((I13-AB13+L13)/(F13)),(I13-AB13+L13)/(F13)," - ")</f>
        <v>0</v>
      </c>
      <c r="BM13" s="907">
        <f>SUBTOTAL(9,BM9:BM12)</f>
        <v>4.1841004184100417E-2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360</v>
      </c>
      <c r="G16" s="601">
        <f>IF(ISNUMBER(IF(D_I="SI",Datos!I16,Datos!I16+Datos!AC16)),IF(D_I="SI",Datos!I16,Datos!I16+Datos!AC16)," - ")</f>
        <v>355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224</v>
      </c>
      <c r="AC16" s="229">
        <f>IF(ISNUMBER(Datos!Q16),Datos!Q16," - ")</f>
        <v>8</v>
      </c>
      <c r="AD16" s="337"/>
      <c r="AE16" s="487"/>
      <c r="AF16" s="599">
        <f>IF(ISNUMBER(IF(D_I="SI",Datos!L16,Datos!L16+Datos!AF16)),IF(D_I="SI",Datos!L16,Datos!L16+Datos!AF16)," - ")</f>
        <v>412</v>
      </c>
      <c r="AG16" s="337"/>
      <c r="AH16" s="337"/>
      <c r="AI16" s="337"/>
      <c r="AJ16" s="337"/>
      <c r="AK16" s="337"/>
      <c r="AL16" s="482"/>
      <c r="AM16" s="338">
        <f>IF(ISNUMBER(Datos!R16),Datos!R16," - ")</f>
        <v>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62</v>
      </c>
      <c r="BD16" s="232">
        <f>IF(ISNUMBER(Datos!N16),Datos!N16," - ")</f>
        <v>101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0.81159420289855078</v>
      </c>
      <c r="BH16" s="263">
        <f>IF(ISNUMBER(((IF(D_I="SI",Datos!L16/Datos!K16,(Datos!L16+Datos!AF16)/(Datos!K16+Datos!AE16)))*11)/factor_trimestre),((IF(D_I="SI",Datos!L16/Datos!K16,(Datos!L16+Datos!AF16)/(Datos!K16+Datos!AE16)))*11)/factor_trimestre," - ")</f>
        <v>5.5178571428571432</v>
      </c>
      <c r="BI16" s="246">
        <f>IF(ISNUMBER('Resol  Asuntos'!D16/NºAsuntos!G16),'Resol  Asuntos'!D16/NºAsuntos!G16," - ")</f>
        <v>0.2767857142857143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0.6333333333333333</v>
      </c>
      <c r="BH17" s="263">
        <f>IF(ISNUMBER(((IF(D_I="SI",Datos!L17/Datos!K17,(Datos!L17+Datos!AF17)/(Datos!K17+Datos!AE17)))*11)/factor_trimestre),((IF(D_I="SI",Datos!L17/Datos!K17,(Datos!L17+Datos!AF17)/(Datos!K17+Datos!AE17)))*11)/factor_trimestre," - ")</f>
        <v>7.1052631578947363</v>
      </c>
      <c r="BI17" s="246">
        <f>IF(ISNUMBER('Resol  Asuntos'!D17/NºAsuntos!G17),'Resol  Asuntos'!D17/NºAsuntos!G17," - ")</f>
        <v>0.47368421052631576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360</v>
      </c>
      <c r="G18" s="901">
        <f>SUBTOTAL(9,G15:G17)</f>
        <v>389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243</v>
      </c>
      <c r="AC18" s="902">
        <f t="shared" si="4"/>
        <v>8</v>
      </c>
      <c r="AD18" s="902">
        <f t="shared" si="4"/>
        <v>0</v>
      </c>
      <c r="AE18" s="902">
        <f t="shared" si="4"/>
        <v>0</v>
      </c>
      <c r="AF18" s="902">
        <f t="shared" si="4"/>
        <v>457</v>
      </c>
      <c r="AG18" s="902">
        <f t="shared" si="4"/>
        <v>0</v>
      </c>
      <c r="AH18" s="902">
        <f t="shared" si="4"/>
        <v>0</v>
      </c>
      <c r="AI18" s="902">
        <f t="shared" si="4"/>
        <v>0</v>
      </c>
      <c r="AJ18" s="902">
        <f t="shared" si="4"/>
        <v>0</v>
      </c>
      <c r="AK18" s="902">
        <f t="shared" si="4"/>
        <v>0</v>
      </c>
      <c r="AL18" s="902">
        <f t="shared" si="4"/>
        <v>0</v>
      </c>
      <c r="AM18" s="902">
        <f t="shared" si="4"/>
        <v>52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71</v>
      </c>
      <c r="BD18" s="902">
        <f t="shared" si="4"/>
        <v>121</v>
      </c>
      <c r="BE18" s="902">
        <f t="shared" si="4"/>
        <v>0</v>
      </c>
      <c r="BF18" s="902">
        <f t="shared" si="4"/>
        <v>0</v>
      </c>
      <c r="BG18" s="902">
        <f>IF(ISNUMBER(Datos!K18/Datos!J18),Datos!K18/Datos!J18," - ")</f>
        <v>0.79411764705882348</v>
      </c>
      <c r="BH18" s="906">
        <f>IF(ISNUMBER(((Datos!L18/Datos!K18)*11)/factor_trimestre),((Datos!L18/Datos!K18)*11)/factor_trimestre," - ")</f>
        <v>5.6419753086419755</v>
      </c>
      <c r="BI18" s="902">
        <f>SUBTOTAL(9,BI15:BI17)</f>
        <v>0.75046992481203012</v>
      </c>
      <c r="BJ18" s="902">
        <f>SUBTOTAL(9,BJ15:BJ17)</f>
        <v>0</v>
      </c>
      <c r="BK18" s="902">
        <f>SUBTOTAL(9,BK15:BK17)</f>
        <v>0</v>
      </c>
      <c r="BL18" s="902">
        <f>IF(ISNUMBER((I18-AB18+L18)/(F18)),(I18-AB18+L18)/(F18)," - ")</f>
        <v>-0.67500000000000004</v>
      </c>
      <c r="BM18" s="908">
        <f>IF(ISNUMBER((Datos!P18-Datos!Q18)/(Datos!R18-Datos!P18+Datos!Q18)),(Datos!P18-Datos!Q18)/(Datos!R18-Datos!P18+Datos!Q18)," - ")</f>
        <v>-5.4545454545454543E-2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367</v>
      </c>
      <c r="G19" s="823">
        <f t="shared" si="6"/>
        <v>396</v>
      </c>
      <c r="H19" s="825">
        <f t="shared" si="6"/>
        <v>0</v>
      </c>
      <c r="I19" s="823">
        <f t="shared" si="6"/>
        <v>0</v>
      </c>
      <c r="J19" s="825">
        <f t="shared" si="6"/>
        <v>0</v>
      </c>
      <c r="K19" s="825">
        <f t="shared" si="6"/>
        <v>0</v>
      </c>
      <c r="L19" s="884">
        <f t="shared" si="6"/>
        <v>0</v>
      </c>
      <c r="M19" s="884">
        <f t="shared" si="6"/>
        <v>0</v>
      </c>
      <c r="N19" s="884">
        <f t="shared" si="6"/>
        <v>23</v>
      </c>
      <c r="O19" s="884">
        <f t="shared" si="6"/>
        <v>0</v>
      </c>
      <c r="P19" s="884">
        <f t="shared" si="6"/>
        <v>0</v>
      </c>
      <c r="Q19" s="825">
        <f t="shared" si="6"/>
        <v>79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243</v>
      </c>
      <c r="AC19" s="824">
        <f t="shared" si="7"/>
        <v>42</v>
      </c>
      <c r="AD19" s="824">
        <f t="shared" si="7"/>
        <v>0</v>
      </c>
      <c r="AE19" s="824">
        <f t="shared" si="7"/>
        <v>0</v>
      </c>
      <c r="AF19" s="831">
        <f t="shared" si="7"/>
        <v>465</v>
      </c>
      <c r="AG19" s="831">
        <f t="shared" si="7"/>
        <v>0</v>
      </c>
      <c r="AH19" s="831">
        <f t="shared" si="7"/>
        <v>50</v>
      </c>
      <c r="AI19" s="831">
        <f t="shared" si="7"/>
        <v>0</v>
      </c>
      <c r="AJ19" s="824">
        <f t="shared" si="7"/>
        <v>0</v>
      </c>
      <c r="AK19" s="831">
        <f t="shared" si="7"/>
        <v>0</v>
      </c>
      <c r="AL19" s="831">
        <f t="shared" si="7"/>
        <v>0</v>
      </c>
      <c r="AM19" s="831">
        <f t="shared" si="7"/>
        <v>1048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128</v>
      </c>
      <c r="BD19" s="823">
        <f t="shared" si="7"/>
        <v>212</v>
      </c>
      <c r="BE19" s="823">
        <f t="shared" si="7"/>
        <v>0</v>
      </c>
      <c r="BF19" s="833">
        <f t="shared" si="7"/>
        <v>0</v>
      </c>
      <c r="BG19" s="918">
        <f>IF(ISNUMBER(Datos!K19/Datos!J19),Datos!K19/Datos!J19," - ")</f>
        <v>0.68575624082232012</v>
      </c>
      <c r="BH19" s="918">
        <f>IF(ISNUMBER(((Datos!L19/Datos!K19)*11)/factor_trimestre),((Datos!L19/Datos!K19)*11)/factor_trimestre," - ")</f>
        <v>9.3211991434689505</v>
      </c>
      <c r="BI19" s="816">
        <f>IF(ISNUMBER(Datos!J19/Datos!I19),Datos!J19/Datos!I19," - ")</f>
        <v>0.55275974025974028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-0.66212534059945505</v>
      </c>
      <c r="BM19" s="892">
        <f>IF(ISNUMBER((Datos!P19-Datos!Q19+R19)/(Datos!R19-Datos!P19+Datos!Q19-R19)),(Datos!P19-Datos!Q19+R19)/(Datos!R19-Datos!P19+Datos!Q19-R19)," - ")</f>
        <v>3.6597428288822946E-2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203.80464502393789</v>
      </c>
      <c r="G21" s="555">
        <f>IF(ISNUMBER(STDEV(G8:G18)),STDEV(G8:G18),"-")</f>
        <v>195.67013057694831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124.84670600380292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30.137462843886954</v>
      </c>
      <c r="BD21" s="554"/>
      <c r="BE21" s="554">
        <f>IF(ISNUMBER(STDEV(BE8:BE18)),STDEV(BE8:BE18),"-")</f>
        <v>0</v>
      </c>
      <c r="BF21" s="559">
        <f>IF(ISNUMBER(STDEV(BF8:BF18)),STDEV(BF8:BF18),"-")</f>
        <v>0</v>
      </c>
      <c r="BG21" s="778">
        <f>IF(ISNUMBER(STDEV(BG8:BG18)),STDEV(BG8:BG18),"-")</f>
        <v>0.29714215602940924</v>
      </c>
      <c r="BH21" s="779">
        <f>IF(ISNUMBER(STDEV(BH8:BH18)),STDEV(BH8:BH18),"-")</f>
        <v>3.7806010264495584</v>
      </c>
      <c r="BI21" s="252">
        <f>IF(ISNUMBER(STDEV(BI8:BI18)),STDEV(BI8:BI18),"-")</f>
        <v>0.23725367582501872</v>
      </c>
      <c r="BJ21" s="233" t="str">
        <f>IF(ISNUMBER(BL21/BM21),BL21/BM21," - ")</f>
        <v xml:space="preserve"> - </v>
      </c>
      <c r="BK21" s="578"/>
      <c r="BL21" s="562">
        <f>IF(ISNUMBER(STDEV(BL8:BL18)),STDEV(BL8:BL18),"-")</f>
        <v>0.47729707730091964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yCjSiFJJPI8XIKIshaKWdSECRVIfcXluMEFw5+dkFz64CAzc577koQbU2Lgsu9IuujIZvclOeTxPrTNva5x0Q==" saltValue="uhWuk2vuPjCAgPBgSmPn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LAVIANA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8</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34</v>
      </c>
      <c r="AA12" s="335" t="str">
        <f>IF(ISNUMBER(IF(J_V="SI",Datos!L12,Datos!L12+Datos!AB12)-IF(Monitorios="SI",Datos!CD12,0)),
                          IF(J_V="SI",Datos!L12,Datos!L12+Datos!AB12)-IF(Monitorios="SI",Datos!CD12,0),
                          " - ")</f>
        <v xml:space="preserve"> - </v>
      </c>
      <c r="AB12" s="337"/>
      <c r="AC12" s="337"/>
      <c r="AD12" s="487"/>
      <c r="AE12" s="487">
        <f>IF(ISNUMBER(Datos!R12),Datos!R12," - ")</f>
        <v>996</v>
      </c>
      <c r="AF12" s="232" t="str">
        <f>IF(ISNUMBER(Datos!BV12),Datos!BV12," - ")</f>
        <v xml:space="preserve"> - </v>
      </c>
      <c r="AG12" s="228" t="str">
        <f>IF(ISNUMBER(Datos!DV12),Datos!DV12," - ")</f>
        <v xml:space="preserve"> - </v>
      </c>
      <c r="AH12" s="301"/>
      <c r="AI12" s="230"/>
      <c r="AJ12" s="228">
        <f>IF(ISNUMBER(Datos!M12),Datos!M12," - ")</f>
        <v>57</v>
      </c>
      <c r="AK12" s="232">
        <f>IF(ISNUMBER(Datos!N12),Datos!N12," - ")</f>
        <v>91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12.432000000000002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4.1841004184100417E-2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34</v>
      </c>
      <c r="AA13" s="903">
        <f t="shared" si="2"/>
        <v>8</v>
      </c>
      <c r="AB13" s="903">
        <f t="shared" si="2"/>
        <v>0</v>
      </c>
      <c r="AC13" s="903">
        <f t="shared" si="2"/>
        <v>0</v>
      </c>
      <c r="AD13" s="903">
        <f t="shared" si="2"/>
        <v>0</v>
      </c>
      <c r="AE13" s="903">
        <f t="shared" si="2"/>
        <v>996</v>
      </c>
      <c r="AF13" s="911">
        <f t="shared" si="2"/>
        <v>0</v>
      </c>
      <c r="AG13" s="911">
        <f t="shared" si="2"/>
        <v>0</v>
      </c>
      <c r="AH13" s="911">
        <f t="shared" si="2"/>
        <v>0</v>
      </c>
      <c r="AI13" s="911">
        <f t="shared" si="2"/>
        <v>0</v>
      </c>
      <c r="AJ13" s="911">
        <f t="shared" si="2"/>
        <v>57</v>
      </c>
      <c r="AK13" s="911">
        <f t="shared" si="2"/>
        <v>91</v>
      </c>
      <c r="AL13" s="911">
        <f t="shared" si="2"/>
        <v>0</v>
      </c>
      <c r="AM13" s="911">
        <f t="shared" si="2"/>
        <v>0</v>
      </c>
      <c r="AN13" s="911">
        <f t="shared" si="2"/>
        <v>0</v>
      </c>
      <c r="AO13" s="907">
        <f>IF(ISNUMBER(((NºAsuntos!I13/NºAsuntos!G13)*11)/factor_trimestre),((NºAsuntos!I13/NºAsuntos!G13)*11)/factor_trimestre," - ")</f>
        <v>12.528</v>
      </c>
      <c r="AP13" s="913" t="str">
        <f>IF(ISNUMBER(Datos!CI13/Datos!CJ13),Datos!CI13/Datos!CJ13," - ")</f>
        <v xml:space="preserve"> - </v>
      </c>
      <c r="AQ13" s="931">
        <f t="shared" ref="AQ13:AV13" si="3">SUBTOTAL(9,AQ9:AQ12)</f>
        <v>0</v>
      </c>
      <c r="AR13" s="931">
        <f t="shared" si="3"/>
        <v>4.1841004184100417E-2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360</v>
      </c>
      <c r="G16" s="228">
        <f>IF(ISNUMBER(IF(D_I="SI",Datos!I16,Datos!I16+Datos!AC16)),IF(D_I="SI",Datos!I16,Datos!I16+Datos!AC16)," - ")</f>
        <v>355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224</v>
      </c>
      <c r="Z16" s="622">
        <f>IF(ISNUMBER(Datos!Q16),Datos!Q16," - ")</f>
        <v>8</v>
      </c>
      <c r="AA16" s="335">
        <f>IF(ISNUMBER(IF(D_I="SI",Datos!L16,Datos!L16+Datos!AF16)),IF(D_I="SI",Datos!L16,Datos!L16+Datos!AF16)," - ")</f>
        <v>412</v>
      </c>
      <c r="AB16" s="337"/>
      <c r="AC16" s="337"/>
      <c r="AD16" s="487"/>
      <c r="AE16" s="487">
        <f>IF(ISNUMBER(Datos!R16),Datos!R16," - ")</f>
        <v>52</v>
      </c>
      <c r="AF16" s="232" t="str">
        <f>IF(ISNUMBER(Datos!BV16),Datos!BV16," - ")</f>
        <v xml:space="preserve"> - </v>
      </c>
      <c r="AG16" s="228"/>
      <c r="AH16" s="301"/>
      <c r="AI16" s="230"/>
      <c r="AJ16" s="228">
        <f>IF(ISNUMBER(Datos!M16),Datos!M16," - ")</f>
        <v>62</v>
      </c>
      <c r="AK16" s="232">
        <f>IF(ISNUMBER(Datos!N16),Datos!N16," - ")</f>
        <v>101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5.5178571428571432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7.1052631578947363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360</v>
      </c>
      <c r="G18" s="901">
        <f>SUBTOTAL(9,G15:G17)</f>
        <v>389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243</v>
      </c>
      <c r="Z18" s="935">
        <f t="shared" si="5"/>
        <v>8</v>
      </c>
      <c r="AA18" s="935">
        <f t="shared" si="5"/>
        <v>457</v>
      </c>
      <c r="AB18" s="935">
        <f t="shared" si="5"/>
        <v>0</v>
      </c>
      <c r="AC18" s="935">
        <f t="shared" si="5"/>
        <v>0</v>
      </c>
      <c r="AD18" s="935">
        <f t="shared" si="5"/>
        <v>0</v>
      </c>
      <c r="AE18" s="935">
        <f t="shared" si="5"/>
        <v>52</v>
      </c>
      <c r="AF18" s="935">
        <f t="shared" si="5"/>
        <v>0</v>
      </c>
      <c r="AG18" s="935">
        <f t="shared" si="5"/>
        <v>0</v>
      </c>
      <c r="AH18" s="935">
        <f t="shared" si="5"/>
        <v>0</v>
      </c>
      <c r="AI18" s="935">
        <f t="shared" si="5"/>
        <v>0</v>
      </c>
      <c r="AJ18" s="935">
        <f t="shared" si="5"/>
        <v>71</v>
      </c>
      <c r="AK18" s="935">
        <f t="shared" si="5"/>
        <v>121</v>
      </c>
      <c r="AL18" s="935">
        <f t="shared" si="5"/>
        <v>0</v>
      </c>
      <c r="AM18" s="935">
        <f t="shared" si="5"/>
        <v>0</v>
      </c>
      <c r="AN18" s="935">
        <f t="shared" si="5"/>
        <v>0</v>
      </c>
      <c r="AO18" s="937">
        <f>IF(ISNUMBER(((NºAsuntos!I18/NºAsuntos!G18)*11)/factor_trimestre),((NºAsuntos!I18/NºAsuntos!G18)*11)/factor_trimestre," - ")</f>
        <v>5.6419753086419755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367</v>
      </c>
      <c r="G19" s="823">
        <f t="shared" si="7"/>
        <v>396</v>
      </c>
      <c r="H19" s="824">
        <f t="shared" si="7"/>
        <v>0</v>
      </c>
      <c r="I19" s="823">
        <f t="shared" si="7"/>
        <v>0</v>
      </c>
      <c r="J19" s="825">
        <f t="shared" si="7"/>
        <v>0</v>
      </c>
      <c r="K19" s="823">
        <f t="shared" si="7"/>
        <v>0</v>
      </c>
      <c r="L19" s="826">
        <f t="shared" si="7"/>
        <v>0</v>
      </c>
      <c r="M19" s="823">
        <f t="shared" si="7"/>
        <v>0</v>
      </c>
      <c r="N19" s="824">
        <f t="shared" si="7"/>
        <v>79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243</v>
      </c>
      <c r="Z19" s="830">
        <f t="shared" si="8"/>
        <v>42</v>
      </c>
      <c r="AA19" s="831">
        <f t="shared" si="8"/>
        <v>465</v>
      </c>
      <c r="AB19" s="831">
        <f t="shared" si="8"/>
        <v>0</v>
      </c>
      <c r="AC19" s="831">
        <f t="shared" si="8"/>
        <v>0</v>
      </c>
      <c r="AD19" s="832">
        <f t="shared" si="8"/>
        <v>0</v>
      </c>
      <c r="AE19" s="832">
        <f t="shared" si="8"/>
        <v>1048</v>
      </c>
      <c r="AF19" s="833">
        <f t="shared" si="8"/>
        <v>0</v>
      </c>
      <c r="AG19" s="834">
        <f t="shared" si="8"/>
        <v>0</v>
      </c>
      <c r="AH19" s="835">
        <f t="shared" si="8"/>
        <v>0</v>
      </c>
      <c r="AI19" s="833">
        <f t="shared" si="8"/>
        <v>0</v>
      </c>
      <c r="AJ19" s="823">
        <f t="shared" si="8"/>
        <v>128</v>
      </c>
      <c r="AK19" s="823">
        <f t="shared" si="8"/>
        <v>212</v>
      </c>
      <c r="AL19" s="823">
        <f t="shared" si="8"/>
        <v>0</v>
      </c>
      <c r="AM19" s="836">
        <f t="shared" si="8"/>
        <v>0</v>
      </c>
      <c r="AN19" s="826">
        <f>IF(ISNUMBER(Datos!K19/Datos!J19),Datos!K19/Datos!J19," - ")</f>
        <v>0.68575624082232012</v>
      </c>
      <c r="AO19" s="826">
        <f>IF(ISNUMBER(FIND("06",Criterios!A8,1)),(IF(ISNUMBER(((Datos!R19/Datos!Q19)*11)/factor_trimestre),((Datos!R19/Datos!Q19)*11)/factor_trimestre," - ")),(IF(ISNUMBER(((Datos!L19/Datos!K19)*11)/factor_trimestre),((Datos!L19/Datos!K19)*11)/factor_trimestre," - ")))</f>
        <v>9.3211991434689505</v>
      </c>
      <c r="AP19" s="837" t="str">
        <f>IF(ISNUMBER(Datos!CI19/Datos!CJ19),Datos!CI19/Datos!CJ19," - ")</f>
        <v xml:space="preserve"> - </v>
      </c>
      <c r="AQ19" s="837">
        <f>IF(OR(ISNUMBER(FIND("01",Criterios!A8,1)),ISNUMBER(FIND("02",Criterios!A8,1)),ISNUMBER(FIND("03",Criterios!A8,1)),ISNUMBER(FIND("04",Criterios!A8,1))),(J19-Y19+K19)/(F19-K19),(I19-Y19+K19)/(F19-K19))</f>
        <v>-0.66212534059945505</v>
      </c>
      <c r="AR19" s="837">
        <f>IF(ISNUMBER((Datos!P19-Datos!Q19+O19)/(Datos!R19-Datos!P19+Datos!Q19-O19)),(Datos!P19-Datos!Q19+O19)/(Datos!R19-Datos!P19+Datos!Q19-O19)," - ")</f>
        <v>3.6597428288822946E-2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203.80464502393789</v>
      </c>
      <c r="G21" s="555">
        <f>IF(ISNUMBER(STDEV(G8:G18)),STDEV(G8:G18),"-")</f>
        <v>195.67013057694831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30.137462843886954</v>
      </c>
      <c r="AK21" s="255"/>
      <c r="AL21" s="255">
        <f>IF(ISNUMBER(STDEV(AL8:AL18)),STDEV(AL8:AL18),"-")</f>
        <v>0</v>
      </c>
      <c r="AM21" s="257">
        <f>IF(ISNUMBER(STDEV(AM8:AM18)),STDEV(AM8:AM18),"-")</f>
        <v>0</v>
      </c>
      <c r="AN21" s="542">
        <f>IF(ISNUMBER(STDEV(AN8:AN18)),STDEV(AN8:AN18),"-")</f>
        <v>0</v>
      </c>
      <c r="AO21" s="543">
        <f>IF(ISNUMBER(STDEV(AO8:AO18)),STDEV(AO8:AO18),"-")</f>
        <v>3.5562278922684913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ztVCS2YvZQaPDZZYQGV+yGnKd3+flo3W/Uwxo75URCqzDuTF9fYfao97Up6iT592yBdVq65fxsZ7wM6BL5rKg==" saltValue="88s0N7WlKy1xU182wOWT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1eUhJw0T6ejZZc38gKQ6ul/pOR+Fo8njSPaEtPfFnxQPTS7xjzBJsUKOPAsMduBvR6PUyNq1eUv3z/YgB381Q==" saltValue="fFpFD2JgMJcWqSxbRzIp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Jv0BGRkhFXmuUbl5Lid0Hngapq5cMLnGqQ407X4fEXmIzRUnZMFckSnHRxePL/XzQTBWl6eCvXr3rVcbXZUEg==" saltValue="JuBZKtRwIO4VWc+7jEvE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LAVIANA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0.22800000000000001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0.16122034611053285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NUE8RnaY+XLsJs1A9qof+ORro/EenUdsa4+9iKuhRrww0QbQfQWH0blzyoM5CBsrIwRrIkZjdizYFD/WihEBg==" saltValue="btQ9qhih+XSxz/StGwv6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sUDhvFP7FogHKaljA3/2E8Dp+Mx4L77r9j5wV6hSO5YIY0cjI83XV7i+N+1FC3wYfDZmADTh00gfX8dT6U29w==" saltValue="p7Vt93Pe+4i5B7+2cwB7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LAVIANA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v>
      </c>
      <c r="F10" s="407">
        <f>IF(ISNUMBER(E10/B10),E10/B10," - ")</f>
        <v>1</v>
      </c>
      <c r="G10" s="406">
        <f>IF(ISNUMBER(Datos!K10),Datos!K10," - ")</f>
        <v>0</v>
      </c>
      <c r="H10" s="407">
        <f>IF(ISNUMBER(G10/B10),G10/B10," - ")</f>
        <v>0</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889</v>
      </c>
      <c r="D12" s="407">
        <f>IF(ISNUMBER(C12/Datos!BH12),C12/Datos!BH12," - ")</f>
        <v>444.5</v>
      </c>
      <c r="E12" s="406">
        <f>IF(ISNUMBER(IF(J_V="SI",Datos!J12,Datos!J12+Datos!Z12)),IF(J_V="SI",Datos!J12,Datos!J12+Datos!Z12)," - ")</f>
        <v>397</v>
      </c>
      <c r="F12" s="407">
        <f>IF(ISNUMBER(E12/B12),E12/B12," - ")</f>
        <v>198.5</v>
      </c>
      <c r="G12" s="406">
        <f>IF(ISNUMBER(IF(J_V="SI",Datos!K12,Datos!K12+Datos!AA12)),IF(J_V="SI",Datos!K12,Datos!K12+Datos!AA12)," - ")</f>
        <v>250</v>
      </c>
      <c r="H12" s="407">
        <f>IF(ISNUMBER(G12/B12),G12/B12," - ")</f>
        <v>125</v>
      </c>
      <c r="I12" s="406">
        <f>IF(ISNUMBER(IF(J_V="SI",Datos!L12,Datos!L12+Datos!AB12)),IF(J_V="SI",Datos!L12,Datos!L12+Datos!AB12)," - ")</f>
        <v>1036</v>
      </c>
      <c r="J12" s="407">
        <f>IF(ISNUMBER(I12/B12),I12/B12," - ")</f>
        <v>518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896</v>
      </c>
      <c r="D13" s="853" t="str">
        <f>IF(ISNUMBER(C13/Datos!BI13),C13/Datos!BI13," - ")</f>
        <v xml:space="preserve"> - </v>
      </c>
      <c r="E13" s="852">
        <f>SUBTOTAL(9,E8:E12)</f>
        <v>398</v>
      </c>
      <c r="F13" s="853">
        <f>IF(ISNUMBER(E13/B13),E13/B13," - ")</f>
        <v>199</v>
      </c>
      <c r="G13" s="852">
        <f>SUBTOTAL(9,G8:G12)</f>
        <v>250</v>
      </c>
      <c r="H13" s="853">
        <f>IF(ISNUMBER(G13/B13),G13/B13," - ")</f>
        <v>125</v>
      </c>
      <c r="I13" s="852">
        <f>SUBTOTAL(9,I8:I12)</f>
        <v>1044</v>
      </c>
      <c r="J13" s="853">
        <f>IF(ISNUMBER(I13/B13),I13/B13," - ")</f>
        <v>522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355</v>
      </c>
      <c r="D16" s="407">
        <f>IF(ISNUMBER(C16/Datos!BH16),C16/Datos!BH16," - ")</f>
        <v>177.5</v>
      </c>
      <c r="E16" s="406">
        <f>IF(ISNUMBER(IF(D_I="SI",Datos!J16,Datos!J16+Datos!AD16)),IF(D_I="SI",Datos!J16,Datos!J16+Datos!AD16)," - ")</f>
        <v>276</v>
      </c>
      <c r="F16" s="407">
        <f>IF(ISNUMBER(E16/B16),E16/B16," - ")</f>
        <v>138</v>
      </c>
      <c r="G16" s="406">
        <f>IF(ISNUMBER(IF(D_I="SI",Datos!K16,Datos!K16+Datos!AE16)),IF(D_I="SI",Datos!K16,Datos!K16+Datos!AE16)," - ")</f>
        <v>224</v>
      </c>
      <c r="H16" s="407">
        <f>IF(ISNUMBER(G16/B16),G16/B16," - ")</f>
        <v>112</v>
      </c>
      <c r="I16" s="406">
        <f>IF(ISNUMBER(IF(D_I="SI",Datos!L16,Datos!L16+Datos!AF16)),IF(D_I="SI",Datos!L16,Datos!L16+Datos!AF16)," - ")</f>
        <v>412</v>
      </c>
      <c r="J16" s="407">
        <f>IF(ISNUMBER(I16/B16),I16/B16," - ")</f>
        <v>206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v>
      </c>
      <c r="D17" s="407">
        <f>IF(ISNUMBER(C17/Datos!BH17),C17/Datos!BH17," - ")</f>
        <v>34</v>
      </c>
      <c r="E17" s="406">
        <f>IF(ISNUMBER(IF(D_I="SI",Datos!J17,Datos!J17+Datos!AD17)),IF(D_I="SI",Datos!J17,Datos!J17+Datos!AD17)," - ")</f>
        <v>30</v>
      </c>
      <c r="F17" s="407">
        <f>IF(ISNUMBER(E17/B17),E17/B17," - ")</f>
        <v>30</v>
      </c>
      <c r="G17" s="406">
        <f>IF(ISNUMBER(IF(D_I="SI",Datos!K17,Datos!K17+Datos!AE17)),IF(D_I="SI",Datos!K17,Datos!K17+Datos!AE17)," - ")</f>
        <v>19</v>
      </c>
      <c r="H17" s="407">
        <f>IF(ISNUMBER(G17/B17),G17/B17," - ")</f>
        <v>19</v>
      </c>
      <c r="I17" s="406">
        <f>IF(ISNUMBER(IF(D_I="SI",Datos!L17,Datos!L17+Datos!AF17)),IF(D_I="SI",Datos!L17,Datos!L17+Datos!AF17)," - ")</f>
        <v>45</v>
      </c>
      <c r="J17" s="407">
        <f>IF(ISNUMBER(I17/B17),I17/B17," - ")</f>
        <v>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389</v>
      </c>
      <c r="D18" s="853" t="str">
        <f>IF(ISNUMBER(C18/Datos!BI18),C18/Datos!BI18," - ")</f>
        <v xml:space="preserve"> - </v>
      </c>
      <c r="E18" s="852">
        <f>SUBTOTAL(9,E14:E17)</f>
        <v>306</v>
      </c>
      <c r="F18" s="853">
        <f>IF(ISNUMBER(E18/B18),E18/B18," - ")</f>
        <v>153</v>
      </c>
      <c r="G18" s="852">
        <f>SUBTOTAL(9,G14:G17)</f>
        <v>243</v>
      </c>
      <c r="H18" s="853">
        <f>IF(ISNUMBER(G18/B18),G18/B18," - ")</f>
        <v>121.5</v>
      </c>
      <c r="I18" s="852">
        <f>SUBTOTAL(9,I14:I17)</f>
        <v>457</v>
      </c>
      <c r="J18" s="853">
        <f>IF(ISNUMBER(I18/B18),I18/B18," - ")</f>
        <v>228.5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1285</v>
      </c>
      <c r="D19" s="798" t="str">
        <f>IF(ISNUMBER(C19/Datos!BI19),C19/Datos!BI19," - ")</f>
        <v xml:space="preserve"> - </v>
      </c>
      <c r="E19" s="797">
        <f>SUBTOTAL(9,E9:E18)</f>
        <v>704</v>
      </c>
      <c r="F19" s="798">
        <f>IF(ISNUMBER(E19/B19),E19/B19," - ")</f>
        <v>352</v>
      </c>
      <c r="G19" s="797">
        <f>SUBTOTAL(9,G9:G18)</f>
        <v>493</v>
      </c>
      <c r="H19" s="798">
        <f>IF(ISNUMBER(G19/B19),G19/B19," - ")</f>
        <v>246.5</v>
      </c>
      <c r="I19" s="797">
        <f>SUBTOTAL(9,I9:I18)</f>
        <v>1501</v>
      </c>
      <c r="J19" s="798">
        <f>IF(ISNUMBER(I19/B19),I19/B19," - ")</f>
        <v>750.5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Lktj9xo7VRIqJ7nHgAoIQjtozDbhxrkNiMKer8Aju0wbQlPP5rK7uLs+RNsTSI2JNzeD/zUVymu1ZuskIiJWQ==" saltValue="kX4cB3Rrm313i48bS5Ic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LAVIANA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996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57</v>
      </c>
      <c r="AM12" s="693">
        <f>IF(ISNUMBER(Datos!N12+DatosP!N16),Datos!N12+DatosP!N16," - ")</f>
        <v>91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12.432000000000002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4.1841004184100417E-2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34</v>
      </c>
      <c r="AE13" s="942">
        <f t="shared" si="1"/>
        <v>0</v>
      </c>
      <c r="AF13" s="942">
        <f t="shared" si="1"/>
        <v>8</v>
      </c>
      <c r="AG13" s="942">
        <f t="shared" si="1"/>
        <v>0</v>
      </c>
      <c r="AH13" s="942">
        <f t="shared" si="1"/>
        <v>996</v>
      </c>
      <c r="AI13" s="942">
        <f t="shared" si="1"/>
        <v>0</v>
      </c>
      <c r="AJ13" s="942">
        <f t="shared" si="1"/>
        <v>0</v>
      </c>
      <c r="AK13" s="942">
        <f t="shared" si="1"/>
        <v>0</v>
      </c>
      <c r="AL13" s="942">
        <f t="shared" si="1"/>
        <v>57</v>
      </c>
      <c r="AM13" s="942">
        <f t="shared" si="1"/>
        <v>91</v>
      </c>
      <c r="AN13" s="942">
        <f t="shared" si="1"/>
        <v>0</v>
      </c>
      <c r="AO13" s="942">
        <f t="shared" si="1"/>
        <v>0</v>
      </c>
      <c r="AP13" s="947">
        <f>IF(ISNUMBER(((Datos!L13/Datos!K13)*11)/factor_trimestre),((Datos!L13/Datos!K13)*11)/factor_trimestre," - ")</f>
        <v>13.3125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4.1841004184100417E-2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5.6419753086419755</v>
      </c>
      <c r="AQ18" s="947">
        <f>IF(ISNUMBER(((Datos!M18/Datos!L18)*11)/factor_trimestre),((Datos!M18/Datos!L18)*11)/factor_trimestre," - ")</f>
        <v>0.46608315098468278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-5.4545454545454543E-2</v>
      </c>
      <c r="AW18" s="949">
        <f>IF(ISNUMBER((Datos!Q18-Datos!R18)/(Datos!S18-Datos!Q18+Datos!R18)),(Datos!Q18-Datos!R18)/(Datos!S18-Datos!Q18+Datos!R18)," - ")</f>
        <v>-0.13750000000000001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34</v>
      </c>
      <c r="AE19" s="960">
        <f t="shared" si="5"/>
        <v>0</v>
      </c>
      <c r="AF19" s="961">
        <f t="shared" si="5"/>
        <v>8</v>
      </c>
      <c r="AG19" s="961">
        <f t="shared" si="5"/>
        <v>0</v>
      </c>
      <c r="AH19" s="961">
        <f t="shared" si="5"/>
        <v>996</v>
      </c>
      <c r="AI19" s="961">
        <f t="shared" si="5"/>
        <v>0</v>
      </c>
      <c r="AJ19" s="962">
        <f t="shared" si="5"/>
        <v>0</v>
      </c>
      <c r="AK19" s="962">
        <f t="shared" si="5"/>
        <v>0</v>
      </c>
      <c r="AL19" s="954">
        <f t="shared" si="5"/>
        <v>57</v>
      </c>
      <c r="AM19" s="954">
        <f t="shared" si="5"/>
        <v>91</v>
      </c>
      <c r="AN19" s="954">
        <f t="shared" si="5"/>
        <v>0</v>
      </c>
      <c r="AO19" s="954">
        <f t="shared" si="5"/>
        <v>0</v>
      </c>
      <c r="AP19" s="954">
        <f>IF(ISNUMBER(((Datos!L19/Datos!K19)*11)/factor_trimestre),((Datos!L19/Datos!K19)*11)/factor_trimestre," - ")</f>
        <v>9.3211991434689505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3.6597428288822946E-2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32.908965343808667</v>
      </c>
      <c r="AM21" s="739"/>
      <c r="AN21" s="739">
        <f>IF(ISNUMBER(STDEV(AN8:AN18)),STDEV(AN8:AN18),"-")</f>
        <v>0</v>
      </c>
      <c r="AO21" s="745">
        <f>IF(ISNUMBER(STDEV(AO8:AO18)),STDEV(AO8:AO18),"-")</f>
        <v>0</v>
      </c>
      <c r="AP21" s="782">
        <f>IF(ISNUMBER(STDEV(AP8:AP18)),STDEV(AP8:AP18),"-")</f>
        <v>4.197552155720933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dwIKmtPk3iCCtuLNjDO0KY33VV3N1IFKO+Ohm26jYSJy06Nmtl0gxDIFjwg/WMWa+WLd5EceRUi20/SDJjQwQ==" saltValue="G+4Y0agcp9C3M/sv9CLT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LAVIANA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V16q9jHubcONOQ2YTvjpZdf6qhOt8sohYtETe+E0nTxzSKXrhbwnscuQWFG6d+0jB62/mnyHDBm3Grqf3MabA==" saltValue="6Kr3+RMLiHUl2FgGnRwg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LAVIANA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57</v>
      </c>
      <c r="E12" s="407">
        <f t="shared" si="0"/>
        <v>28.5</v>
      </c>
      <c r="F12" s="406">
        <f>IF(ISNUMBER(Datos!N12),Datos!N12," - ")</f>
        <v>91</v>
      </c>
      <c r="G12" s="407">
        <f t="shared" si="1"/>
        <v>45.5</v>
      </c>
      <c r="H12" s="406">
        <f>IF(ISNUMBER(Datos!O12),Datos!O12," - ")</f>
        <v>96</v>
      </c>
      <c r="I12" s="407">
        <f t="shared" si="2"/>
        <v>48</v>
      </c>
    </row>
    <row r="13" spans="1:9" ht="14.25" thickTop="1" thickBot="1">
      <c r="A13" s="851" t="str">
        <f>Datos!A13</f>
        <v>TOTAL</v>
      </c>
      <c r="B13" s="852">
        <f>Datos!AO13</f>
        <v>3</v>
      </c>
      <c r="C13" s="854">
        <f>Datos!AR13</f>
        <v>2</v>
      </c>
      <c r="D13" s="852">
        <f>SUBTOTAL(9,D9:D12)</f>
        <v>57</v>
      </c>
      <c r="E13" s="853">
        <f t="shared" si="0"/>
        <v>19</v>
      </c>
      <c r="F13" s="852">
        <f>SUBTOTAL(9,F9:F12)</f>
        <v>91</v>
      </c>
      <c r="G13" s="853">
        <f t="shared" si="1"/>
        <v>30.333333333333332</v>
      </c>
      <c r="H13" s="852">
        <f>SUBTOTAL(9,H9:H12)</f>
        <v>96</v>
      </c>
      <c r="I13" s="853">
        <f>IF(ISNUMBER(H13/B13),H13/B13," - ")</f>
        <v>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62</v>
      </c>
      <c r="E16" s="407">
        <f t="shared" si="3"/>
        <v>31</v>
      </c>
      <c r="F16" s="406">
        <f>IF(ISNUMBER(Datos!N16),Datos!N16," - ")</f>
        <v>101</v>
      </c>
      <c r="G16" s="407">
        <f t="shared" si="4"/>
        <v>50.5</v>
      </c>
      <c r="H16" s="406">
        <f>IF(ISNUMBER(Datos!O16),Datos!O16," - ")</f>
        <v>6</v>
      </c>
      <c r="I16" s="407">
        <f t="shared" si="5"/>
        <v>3</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3</v>
      </c>
      <c r="C18" s="854">
        <f>Datos!AR18</f>
        <v>2</v>
      </c>
      <c r="D18" s="852">
        <f>SUBTOTAL(9,D15:D17)</f>
        <v>71</v>
      </c>
      <c r="E18" s="853">
        <f t="shared" si="3"/>
        <v>23.666666666666668</v>
      </c>
      <c r="F18" s="852">
        <f>SUBTOTAL(9,F15:F17)</f>
        <v>121</v>
      </c>
      <c r="G18" s="853">
        <f t="shared" si="4"/>
        <v>40.333333333333336</v>
      </c>
      <c r="H18" s="852">
        <f>SUBTOTAL(9,H15:H17)</f>
        <v>6</v>
      </c>
      <c r="I18" s="853">
        <f>IF(ISNUMBER(H18/B18),H18/B18," - ")</f>
        <v>2</v>
      </c>
    </row>
    <row r="19" spans="1:9" ht="14.25" thickTop="1" thickBot="1">
      <c r="A19" s="796" t="str">
        <f>Datos!A19</f>
        <v>TOTAL JURISDICCIONES</v>
      </c>
      <c r="B19" s="797">
        <f>Datos!AP19</f>
        <v>2</v>
      </c>
      <c r="C19" s="797">
        <f>Datos!AR19</f>
        <v>2</v>
      </c>
      <c r="D19" s="797">
        <f>SUBTOTAL(9,D8:D18)</f>
        <v>128</v>
      </c>
      <c r="E19" s="798">
        <f>IF(ISNUMBER(D19/B19),D19/B19," - ")</f>
        <v>64</v>
      </c>
      <c r="F19" s="797">
        <f>SUBTOTAL(9,F8:F18)</f>
        <v>212</v>
      </c>
      <c r="G19" s="798">
        <f>IF(ISNUMBER(F19/B19),F19/B19," - ")</f>
        <v>106</v>
      </c>
      <c r="H19" s="797">
        <f>SUBTOTAL(9,H8:H18)</f>
        <v>102</v>
      </c>
      <c r="I19" s="798">
        <f>IF(ISNUMBER(H19/B19),H19/B19," - ")</f>
        <v>51</v>
      </c>
    </row>
    <row r="22" spans="1:9">
      <c r="A22" s="394" t="str">
        <f>Criterios!A4</f>
        <v>Fecha Informe: 07 mar. 2024</v>
      </c>
    </row>
    <row r="27" spans="1:9">
      <c r="A27" s="417"/>
    </row>
  </sheetData>
  <sheetProtection algorithmName="SHA-512" hashValue="+x5Rz+1SX8bCCFYvz3tIUOQ3nrcI/LBj3E7Vsme0+7jRt7sghi0Be0o+8XcCeTXXAi6abKOeC2gWovfATHuSKg==" saltValue="sP3ZFXXAfz4hlo7/4GKe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LAVIANA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74</v>
      </c>
      <c r="C12" s="437">
        <f>IF(ISNUMBER(Datos!Q12),Datos!Q12," - ")</f>
        <v>34</v>
      </c>
      <c r="D12" s="411">
        <f>IF(ISNUMBER(Datos!R12),Datos!R12," - ")</f>
        <v>996</v>
      </c>
    </row>
    <row r="13" spans="1:4" ht="14.25" thickTop="1" thickBot="1">
      <c r="A13" s="851" t="str">
        <f>Datos!A13</f>
        <v>TOTAL</v>
      </c>
      <c r="B13" s="852">
        <f>SUBTOTAL(9,B9:B12)</f>
        <v>74</v>
      </c>
      <c r="C13" s="856">
        <f>SUBTOTAL(9,C9:C12)</f>
        <v>34</v>
      </c>
      <c r="D13" s="854">
        <f>SUBTOTAL(9,D9:D12)</f>
        <v>996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8</v>
      </c>
      <c r="D16" s="411">
        <f>IF(ISNUMBER(Datos!R16),Datos!R16," - ")</f>
        <v>52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8</v>
      </c>
      <c r="D18" s="854">
        <f>SUBTOTAL(9,D15:D17)</f>
        <v>52</v>
      </c>
    </row>
    <row r="19" spans="1:4" ht="16.5" customHeight="1" thickTop="1" thickBot="1">
      <c r="A19" s="796" t="str">
        <f>Datos!A19</f>
        <v>TOTAL JURISDICCIONES</v>
      </c>
      <c r="B19" s="801">
        <f>SUBTOTAL(9,B8:B18)</f>
        <v>79</v>
      </c>
      <c r="C19" s="802">
        <f>SUBTOTAL(9,C8:C18)</f>
        <v>42</v>
      </c>
      <c r="D19" s="803">
        <f>SUBTOTAL(9,D8:D18)</f>
        <v>1048</v>
      </c>
    </row>
    <row r="20" spans="1:4" ht="7.5" customHeight="1"/>
    <row r="21" spans="1:4" ht="6" customHeight="1"/>
    <row r="22" spans="1:4">
      <c r="A22" s="394" t="str">
        <f>Criterios!A4</f>
        <v>Fecha Informe: 07 mar. 2024</v>
      </c>
    </row>
    <row r="27" spans="1:4">
      <c r="A27" s="417"/>
    </row>
  </sheetData>
  <sheetProtection algorithmName="SHA-512" hashValue="tOQlPy/sYJjy9wBtleh9ihqxGDPyt2ZanQLRvvdSn3niW31mKEOqSYEUJVMo8/r04GLac8PCrmhI3uXkIq9LSA==" saltValue="jYCtYNQxmZ7+ckD0/bn+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LAVIANA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2.5</v>
      </c>
      <c r="C10" s="459">
        <f>IF(ISNUMBER((Datos!J10-Datos!T10)/Datos!T10),(Datos!J10-Datos!T10)/Datos!T10," - ")</f>
        <v>0</v>
      </c>
      <c r="D10" s="459" t="str">
        <f>IF(ISNUMBER((Datos!K10-Datos!U10)/Datos!U10),(Datos!K10-Datos!U10)/Datos!U10," - ")</f>
        <v xml:space="preserve"> - </v>
      </c>
      <c r="E10" s="459">
        <f>IF(ISNUMBER((Datos!L10-Datos!V10)/Datos!V10),(Datos!L10-Datos!V10)/Datos!V10," - ")</f>
        <v>1.6666666666666667</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0.50677966101694916</v>
      </c>
      <c r="C12" s="459">
        <f>IF(ISNUMBER(
   IF(J_V="SI",(Datos!J12-Datos!T12)/Datos!T12,(Datos!J12+Datos!Z12-(Datos!T12+Datos!AH12))/(Datos!T12+Datos!AH12))
     ),IF(J_V="SI",(Datos!J12-Datos!T12)/Datos!T12,(Datos!J12+Datos!Z12-(Datos!T12+Datos!AH12))/(Datos!T12+Datos!AH12))," - ")</f>
        <v>0.22153846153846155</v>
      </c>
      <c r="D12" s="459">
        <f>IF(ISNUMBER(
   IF(J_V="SI",(Datos!K12-Datos!U12)/Datos!U12,(Datos!K12+Datos!AA12-(Datos!U12+Datos!AI12))/(Datos!U12+Datos!AI12))
     ),IF(J_V="SI",(Datos!K12-Datos!U12)/Datos!U12,(Datos!K12+Datos!AA12-(Datos!U12+Datos!AI12))/(Datos!U12+Datos!AI12))," - ")</f>
        <v>0.18483412322274881</v>
      </c>
      <c r="E12" s="459">
        <f>IF(ISNUMBER(
   IF(J_V="SI",(Datos!L12-Datos!V12)/Datos!V12,(Datos!L12+Datos!AB12-(Datos!V12+Datos!AJ12))/(Datos!V12+Datos!AJ12))
     ),IF(J_V="SI",(Datos!L12-Datos!V12)/Datos!V12,(Datos!L12+Datos!AB12-(Datos!V12+Datos!AJ12))/(Datos!V12+Datos!AJ12))," - ")</f>
        <v>0.47159090909090912</v>
      </c>
      <c r="F12" s="459">
        <f>IF(ISNUMBER((Datos!M12-Datos!W12)/Datos!W12),(Datos!M12-Datos!W12)/Datos!W12," - ")</f>
        <v>-0.22972972972972974</v>
      </c>
      <c r="G12" s="460">
        <f>IF(ISNUMBER((Datos!N12-Datos!X12)/Datos!X12),(Datos!N12-Datos!X12)/Datos!X12," - ")</f>
        <v>0.625</v>
      </c>
      <c r="H12" s="458">
        <f>IF(ISNUMBER(((NºAsuntos!G12/NºAsuntos!E12)-Datos!BD12)/Datos!BD12),((NºAsuntos!G12/NºAsuntos!E12)-Datos!BD12)/Datos!BD12," - ")</f>
        <v>-3.004763212243499E-2</v>
      </c>
      <c r="I12" s="459">
        <f>IF(ISNUMBER(((NºAsuntos!I12/NºAsuntos!G12)-Datos!BE12)/Datos!BE12),((NºAsuntos!I12/NºAsuntos!G12)-Datos!BE12)/Datos!BE12," - ")</f>
        <v>0.24202272727272739</v>
      </c>
      <c r="J12" s="464">
        <f>IF(ISNUMBER((('Resol  Asuntos'!D12/NºAsuntos!G12)-Datos!BF12)/Datos!BF12),(('Resol  Asuntos'!D12/NºAsuntos!G12)-Datos!BF12)/Datos!BF12," - ")</f>
        <v>-0.14092857142857146</v>
      </c>
      <c r="K12" s="465">
        <f>IF(ISNUMBER((((NºAsuntos!C12+NºAsuntos!E12)/NºAsuntos!G12)-Datos!BG12)/Datos!BG12),(((NºAsuntos!C12+NºAsuntos!E12)/NºAsuntos!G12)-Datos!BG12)/Datos!BG12," - ")</f>
        <v>0.18621202185792357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0.51351351351351349</v>
      </c>
      <c r="C13" s="858">
        <f>IF(ISNUMBER(
   IF(J_V="SI",(Datos!J13-Datos!T13)/Datos!T13,(Datos!J13+Datos!Z13-(Datos!T13+Datos!AH13))/(Datos!T13+Datos!AH13))
     ),IF(J_V="SI",(Datos!J13-Datos!T13)/Datos!T13,(Datos!J13+Datos!Z13-(Datos!T13+Datos!AH13))/(Datos!T13+Datos!AH13))," - ")</f>
        <v>0.22085889570552147</v>
      </c>
      <c r="D13" s="858">
        <f>IF(ISNUMBER(
   IF(J_V="SI",(Datos!K13-Datos!U13)/Datos!U13,(Datos!K13+Datos!AA13-(Datos!U13+Datos!AI13))/(Datos!U13+Datos!AI13))
     ),IF(J_V="SI",(Datos!K13-Datos!U13)/Datos!U13,(Datos!K13+Datos!AA13-(Datos!U13+Datos!AI13))/(Datos!U13+Datos!AI13))," - ")</f>
        <v>0.18483412322274881</v>
      </c>
      <c r="E13" s="858">
        <f>IF(ISNUMBER(
   IF(J_V="SI",(Datos!L13-Datos!V13)/Datos!V13,(Datos!L13+Datos!AB13-(Datos!V13+Datos!AJ13))/(Datos!V13+Datos!AJ13))
     ),IF(J_V="SI",(Datos!L13-Datos!V13)/Datos!V13,(Datos!L13+Datos!AB13-(Datos!V13+Datos!AJ13))/(Datos!V13+Datos!AJ13))," - ")</f>
        <v>0.47666195190947669</v>
      </c>
      <c r="F13" s="859">
        <f>IF(ISNUMBER((Datos!M13-Datos!W13)/Datos!W13),(Datos!M13-Datos!W13)/Datos!W13," - ")</f>
        <v>-0.22972972972972974</v>
      </c>
      <c r="G13" s="860">
        <f>IF(ISNUMBER((Datos!N13-Datos!X13)/Datos!X13),(Datos!N13-Datos!X13)/Datos!X13," - ")</f>
        <v>0.625</v>
      </c>
      <c r="H13" s="860">
        <f>IF(ISNUMBER(((NºAsuntos!G13/NºAsuntos!E13)-Datos!BD13)/Datos!BD13),((NºAsuntos!G13/NºAsuntos!E13)-Datos!BD13)/Datos!BD13," - ")</f>
        <v>-2.9507728214532351E-2</v>
      </c>
      <c r="I13" s="860">
        <f>IF(ISNUMBER(((NºAsuntos!I13/NºAsuntos!G13)-Datos!BE13)/Datos!BE13),((NºAsuntos!I13/NºAsuntos!G13)-Datos!BE13)/Datos!BE13," - ")</f>
        <v>0.24630268741159841</v>
      </c>
      <c r="J13" s="860">
        <f>IF(ISNUMBER((('Resol  Asuntos'!D13/NºAsuntos!G13)-Datos!BF13)/Datos!BF13),(('Resol  Asuntos'!D13/NºAsuntos!G13)-Datos!BF13)/Datos!BF13," - ")</f>
        <v>-0.14092857142857146</v>
      </c>
      <c r="K13" s="860">
        <f>IF(ISNUMBER((((NºAsuntos!C13+NºAsuntos!E13)/NºAsuntos!G13)-Datos!BG13)/Datos!BG13),(((NºAsuntos!C13+NºAsuntos!E13)/NºAsuntos!G13)-Datos!BG13)/Datos!BG13," - ")</f>
        <v>0.18969063180827883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0.37596899224806202</v>
      </c>
      <c r="C16" s="459">
        <f>IF(ISNUMBER(
   IF(D_I="SI",(Datos!J16-Datos!T16)/Datos!T16,(Datos!J16+Datos!AD16-(Datos!T16+Datos!AL16))/(Datos!T16+Datos!AL16))
     ),IF(D_I="SI",(Datos!J16-Datos!T16)/Datos!T16,(Datos!J16+Datos!AD16-(Datos!T16+Datos!AL16))/(Datos!T16+Datos!AL16))," - ")</f>
        <v>0.59537572254335258</v>
      </c>
      <c r="D16" s="459">
        <f>IF(ISNUMBER(
   IF(D_I="SI",(Datos!K16-Datos!U16)/Datos!U16,(Datos!K16+Datos!AE16-(Datos!U16+Datos!AM16))/(Datos!U16+Datos!AM16))
     ),IF(D_I="SI",(Datos!K16-Datos!U16)/Datos!U16,(Datos!K16+Datos!AE16-(Datos!U16+Datos!AM16))/(Datos!U16+Datos!AM16))," - ")</f>
        <v>0.31764705882352939</v>
      </c>
      <c r="E16" s="459">
        <f>IF(ISNUMBER(
   IF(D_I="SI",(Datos!L16-Datos!V16)/Datos!V16,(Datos!L16+Datos!AF16-(Datos!V16+Datos!AN16))/(Datos!V16+Datos!AN16))
     ),IF(D_I="SI",(Datos!L16-Datos!V16)/Datos!V16,(Datos!L16+Datos!AF16-(Datos!V16+Datos!AN16))/(Datos!V16+Datos!AN16))," - ")</f>
        <v>0.57854406130268199</v>
      </c>
      <c r="F16" s="459">
        <f>IF(ISNUMBER((Datos!M16-Datos!W16)/Datos!W16),(Datos!M16-Datos!W16)/Datos!W16," - ")</f>
        <v>1.0666666666666667</v>
      </c>
      <c r="G16" s="460">
        <f>IF(ISNUMBER((Datos!N16-Datos!X16)/Datos!X16),(Datos!N16-Datos!X16)/Datos!X16," - ")</f>
        <v>0.21686746987951808</v>
      </c>
      <c r="H16" s="458">
        <f>IF(ISNUMBER(((NºAsuntos!G16/NºAsuntos!E16)-Datos!BD16)/Datos!BD16),((NºAsuntos!G16/NºAsuntos!E16)-Datos!BD16)/Datos!BD16," - ")</f>
        <v>-0.174083546462063</v>
      </c>
      <c r="I16" s="459">
        <f>IF(ISNUMBER(((NºAsuntos!I16/NºAsuntos!G16)-Datos!BE16)/Datos!BE16),((NºAsuntos!I16/NºAsuntos!G16)-Datos!BE16)/Datos!BE16," - ")</f>
        <v>0.19800218938149958</v>
      </c>
      <c r="J16" s="464">
        <f>IF(ISNUMBER((('Resol  Asuntos'!D16/NºAsuntos!G16)-Datos!BF16)/Datos!BF16),(('Resol  Asuntos'!D16/NºAsuntos!G16)-Datos!BF16)/Datos!BF16," - ")</f>
        <v>0.56845238095238093</v>
      </c>
      <c r="K16" s="465">
        <f>IF(ISNUMBER((((NºAsuntos!C16+NºAsuntos!E16)/NºAsuntos!G16)-Datos!BG16)/Datos!BG16),(((NºAsuntos!C16+NºAsuntos!E16)/NºAsuntos!G16)-Datos!BG16)/Datos!BG16," - ")</f>
        <v>0.11109960225389461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0.88888888888888884</v>
      </c>
      <c r="C17" s="459">
        <f>IF(ISNUMBER(
   IF(D_I="SI",(Datos!J17-Datos!T17)/Datos!T17,(Datos!J17+Datos!AD17-(Datos!T17+Datos!AL17))/(Datos!T17+Datos!AL17))
     ),IF(D_I="SI",(Datos!J17-Datos!T17)/Datos!T17,(Datos!J17+Datos!AD17-(Datos!T17+Datos!AL17))/(Datos!T17+Datos!AL17))," - ")</f>
        <v>-0.21052631578947367</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1.5</v>
      </c>
      <c r="F17" s="459">
        <f>IF(ISNUMBER((Datos!M17-Datos!W17)/Datos!W17),(Datos!M17-Datos!W17)/Datos!W17," - ")</f>
        <v>-0.18181818181818182</v>
      </c>
      <c r="G17" s="460">
        <f>IF(ISNUMBER((Datos!N17-Datos!X17)/Datos!X17),(Datos!N17-Datos!X17)/Datos!X17," - ")</f>
        <v>0.33333333333333331</v>
      </c>
      <c r="H17" s="458">
        <f>IF(ISNUMBER(((NºAsuntos!G17/NºAsuntos!E17)-Datos!BD17)/Datos!BD17),((NºAsuntos!G17/NºAsuntos!E17)-Datos!BD17)/Datos!BD17," - ")</f>
        <v>-0.3666666666666667</v>
      </c>
      <c r="I17" s="459">
        <f>IF(ISNUMBER(((NºAsuntos!I17/NºAsuntos!G17)-Datos!BE17)/Datos!BE17),((NºAsuntos!I17/NºAsuntos!G17)-Datos!BE17)/Datos!BE17," - ")</f>
        <v>4</v>
      </c>
      <c r="J17" s="464">
        <f>IF(ISNUMBER((('Resol  Asuntos'!D17/NºAsuntos!G17)-Datos!BF17)/Datos!BF17),(('Resol  Asuntos'!D17/NºAsuntos!G17)-Datos!BF17)/Datos!BF17," - ")</f>
        <v>0.63636363636363624</v>
      </c>
      <c r="K17" s="465">
        <f>IF(ISNUMBER((((NºAsuntos!C17+NºAsuntos!E17)/NºAsuntos!G17)-Datos!BG17)/Datos!BG17),(((NºAsuntos!C17+NºAsuntos!E17)/NºAsuntos!G17)-Datos!BG17)/Datos!BG17," - ")</f>
        <v>1.2857142857142858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0.40942028985507245</v>
      </c>
      <c r="C18" s="858">
        <f>IF(ISNUMBER(
   IF(Criterios!B14="SI",(Datos!J18-Datos!T18)/Datos!T18,(Datos!J18+Datos!AD18-(Datos!T18+Datos!AL18))/(Datos!T18+Datos!AL18))
     ),IF(Criterios!B14="SI",(Datos!J18-Datos!T18)/Datos!T18,(Datos!J18+Datos!AD18-(Datos!T18+Datos!AL18))/(Datos!T18+Datos!AL18))," - ")</f>
        <v>0.45023696682464454</v>
      </c>
      <c r="D18" s="858">
        <f>IF(ISNUMBER(
   IF(Criterios!B14="SI",(Datos!K18-Datos!U18)/Datos!U18,(Datos!K18+Datos!AE18-(Datos!U18+Datos!AM18))/(Datos!U18+Datos!AM18))
     ),IF(Criterios!B14="SI",(Datos!K18-Datos!U18)/Datos!U18,(Datos!K18+Datos!AE18-(Datos!U18+Datos!AM18))/(Datos!U18+Datos!AM18))," - ")</f>
        <v>0.16826923076923078</v>
      </c>
      <c r="E18" s="858">
        <f>IF(ISNUMBER(
   IF(Criterios!B14="SI",(Datos!L18-Datos!V18)/Datos!V18,(Datos!L18+Datos!AF18-(Datos!V18+Datos!AN18))/(Datos!V18+Datos!AN18))
     ),IF(Criterios!B14="SI",(Datos!L18-Datos!V18)/Datos!V18,(Datos!L18+Datos!AF18-(Datos!V18+Datos!AN18))/(Datos!V18+Datos!AN18))," - ")</f>
        <v>0.63799283154121866</v>
      </c>
      <c r="F18" s="859">
        <f>IF(ISNUMBER((Datos!M18-Datos!W18)/Datos!W18),(Datos!M18-Datos!W18)/Datos!W18," - ")</f>
        <v>0.73170731707317072</v>
      </c>
      <c r="G18" s="860">
        <f>IF(ISNUMBER((Datos!N18-Datos!X18)/Datos!X18),(Datos!N18-Datos!X18)/Datos!X18," - ")</f>
        <v>0.23469387755102042</v>
      </c>
      <c r="H18" s="860">
        <f>IF(ISNUMBER(((NºAsuntos!G18/NºAsuntos!E18)-Datos!BD18)/Datos!BD18),((NºAsuntos!G18/NºAsuntos!E18)-Datos!BD18)/Datos!BD18," - ")</f>
        <v>-0.19442873303167424</v>
      </c>
      <c r="I18" s="860">
        <f>IF(ISNUMBER(((NºAsuntos!I18/NºAsuntos!G18)-Datos!BE18)/Datos!BE18),((NºAsuntos!I18/NºAsuntos!G18)-Datos!BE18)/Datos!BE18," - ")</f>
        <v>0.40206793810935598</v>
      </c>
      <c r="J18" s="860">
        <f>IF(ISNUMBER((('Resol  Asuntos'!D18/NºAsuntos!G18)-Datos!BF18)/Datos!BF18),(('Resol  Asuntos'!D18/NºAsuntos!G18)-Datos!BF18)/Datos!BF18," - ")</f>
        <v>0.48228445247415441</v>
      </c>
      <c r="K18" s="860">
        <f>IF(ISNUMBER((((NºAsuntos!C18+NºAsuntos!E18)/NºAsuntos!G18)-Datos!BG18)/Datos!BG18),(((NºAsuntos!C18+NºAsuntos!E18)/NºAsuntos!G18)-Datos!BG18)/Datos!BG18," - ")</f>
        <v>0.22155465983894004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0.4804147465437788</v>
      </c>
      <c r="C19" s="805">
        <f>IF(ISNUMBER(
   IF(J_V="SI",(Datos!J19-Datos!T19)/Datos!T19,(Datos!J19+Datos!Z19-(Datos!T19+Datos!AH19))/(Datos!T19+Datos!AH19))
     ),IF(J_V="SI",(Datos!J19-Datos!T19)/Datos!T19,(Datos!J19+Datos!Z19-(Datos!T19+Datos!AH19))/(Datos!T19+Datos!AH19))," - ")</f>
        <v>0.31098696461824954</v>
      </c>
      <c r="D19" s="805">
        <f>IF(ISNUMBER(
   IF(J_V="SI",(Datos!K19-Datos!U19)/Datos!U19,(Datos!K19+Datos!AA19-(Datos!U19+Datos!AI19))/(Datos!U19+Datos!AI19))
     ),IF(J_V="SI",(Datos!K19-Datos!U19)/Datos!U19,(Datos!K19+Datos!AA19-(Datos!U19+Datos!AI19))/(Datos!U19+Datos!AI19))," - ")</f>
        <v>0.1766109785202864</v>
      </c>
      <c r="E19" s="805">
        <f>IF(ISNUMBER(
   IF(J_V="SI",(Datos!L19-Datos!V19)/Datos!V19,(Datos!L19+Datos!AB19-(Datos!V19+Datos!AJ19))/(Datos!V19+Datos!AJ19))
     ),IF(J_V="SI",(Datos!L19-Datos!V19)/Datos!V19,(Datos!L19+Datos!AB19-(Datos!V19+Datos!AJ19))/(Datos!V19+Datos!AJ19))," - ")</f>
        <v>0.52231237322515212</v>
      </c>
      <c r="F19" s="806">
        <f>IF(ISNUMBER((Datos!M19-Datos!W19)/Datos!W19),(Datos!M19-Datos!W19)/Datos!W19," - ")</f>
        <v>0.11304347826086956</v>
      </c>
      <c r="G19" s="807">
        <f>IF(ISNUMBER((Datos!N19-Datos!X19)/Datos!X19),(Datos!N19-Datos!X19)/Datos!X19," - ")</f>
        <v>0.37662337662337664</v>
      </c>
      <c r="H19" s="808">
        <f>IF(ISNUMBER((Tasas!B19-Datos!BD19)/Datos!BD19),(Tasas!B19-Datos!BD19)/Datos!BD19," - ")</f>
        <v>-0.10249986439574742</v>
      </c>
      <c r="I19" s="809">
        <f>IF(ISNUMBER((Tasas!C19-Datos!BE19)/Datos!BE19),(Tasas!C19-Datos!BE19)/Datos!BE19," - ")</f>
        <v>0.2938111245057583</v>
      </c>
      <c r="J19" s="810">
        <f>IF(ISNUMBER((Tasas!D19-Datos!BF19)/Datos!BF19),(Tasas!D19-Datos!BF19)/Datos!BF19," - ")</f>
        <v>0.12151565211936174</v>
      </c>
      <c r="K19" s="810">
        <f>IF(ISNUMBER((Tasas!E19-Datos!BG19)/Datos!BG19),(Tasas!E19-Datos!BG19)/Datos!BG19," - ")</f>
        <v>0.203166032642042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oHlSbFMMLlKS7cnItjon9q5Kvc5khZZql/Qhq2FmeJgvCELwVOL/UsN10CQczlHgl3ZSLDxYxJO+SxBMulk4g==" saltValue="3cun0w0tlKH0gpf9OXHL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LAVIANA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0.62972292191435764</v>
      </c>
      <c r="C12" s="446">
        <f>IF(ISNUMBER(NºAsuntos!I12/NºAsuntos!G12),NºAsuntos!I12/NºAsuntos!G12," - ")</f>
        <v>4.1440000000000001</v>
      </c>
      <c r="D12" s="447">
        <f>IF(ISNUMBER('Resol  Asuntos'!D12/NºAsuntos!G12),'Resol  Asuntos'!D12/NºAsuntos!G12," - ")</f>
        <v>0.22800000000000001</v>
      </c>
      <c r="E12" s="448">
        <f>IF(ISNUMBER((NºAsuntos!C12+NºAsuntos!E12)/NºAsuntos!G12),(NºAsuntos!C12+NºAsuntos!E12)/NºAsuntos!G12," - ")</f>
        <v>5.1440000000000001</v>
      </c>
      <c r="G12" s="466"/>
    </row>
    <row r="13" spans="1:7" ht="14.25" thickTop="1" thickBot="1">
      <c r="A13" s="851" t="str">
        <f>Datos!A13</f>
        <v>TOTAL</v>
      </c>
      <c r="B13" s="861">
        <f>IF(ISNUMBER(NºAsuntos!G13/NºAsuntos!E13),NºAsuntos!G13/NºAsuntos!E13," - ")</f>
        <v>0.62814070351758799</v>
      </c>
      <c r="C13" s="862">
        <f>IF(ISNUMBER(NºAsuntos!I13/NºAsuntos!G13),NºAsuntos!I13/NºAsuntos!G13," - ")</f>
        <v>4.1760000000000002</v>
      </c>
      <c r="D13" s="863">
        <f>IF(ISNUMBER('Resol  Asuntos'!D13/NºAsuntos!G13),'Resol  Asuntos'!D13/NºAsuntos!G13," - ")</f>
        <v>0.22800000000000001</v>
      </c>
      <c r="E13" s="864">
        <f>IF(ISNUMBER((NºAsuntos!C13+NºAsuntos!E13)/NºAsuntos!G13),(NºAsuntos!C13+NºAsuntos!E13)/NºAsuntos!G13," - ")</f>
        <v>5.1760000000000002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0.81159420289855078</v>
      </c>
      <c r="C16" s="446">
        <f>IF(ISNUMBER(NºAsuntos!I16/NºAsuntos!G16),NºAsuntos!I16/NºAsuntos!G16," - ")</f>
        <v>1.8392857142857142</v>
      </c>
      <c r="D16" s="447">
        <f>IF(ISNUMBER('Resol  Asuntos'!D16/NºAsuntos!G16),'Resol  Asuntos'!D16/NºAsuntos!G16," - ")</f>
        <v>0.2767857142857143</v>
      </c>
      <c r="E16" s="448">
        <f>IF(ISNUMBER((NºAsuntos!C16+NºAsuntos!E16)/NºAsuntos!G16),(NºAsuntos!C16+NºAsuntos!E16)/NºAsuntos!G16," - ")</f>
        <v>2.8169642857142856</v>
      </c>
      <c r="G16" s="466"/>
    </row>
    <row r="17" spans="1:7" ht="13.5" thickBot="1">
      <c r="A17" s="405" t="str">
        <f>Datos!A17</f>
        <v>Jdos. Violencia contra la mujer</v>
      </c>
      <c r="B17" s="445">
        <f>IF(ISNUMBER(NºAsuntos!G17/NºAsuntos!E17),NºAsuntos!G17/NºAsuntos!E17," - ")</f>
        <v>0.6333333333333333</v>
      </c>
      <c r="C17" s="446">
        <f>IF(ISNUMBER(NºAsuntos!I17/NºAsuntos!G17),NºAsuntos!I17/NºAsuntos!G17," - ")</f>
        <v>2.3684210526315788</v>
      </c>
      <c r="D17" s="447">
        <f>IF(ISNUMBER('Resol  Asuntos'!D17/NºAsuntos!G17),'Resol  Asuntos'!D17/NºAsuntos!G17," - ")</f>
        <v>0.47368421052631576</v>
      </c>
      <c r="E17" s="448">
        <f>IF(ISNUMBER((NºAsuntos!C17+NºAsuntos!E17)/NºAsuntos!G17),(NºAsuntos!C17+NºAsuntos!E17)/NºAsuntos!G17," - ")</f>
        <v>3.3684210526315788</v>
      </c>
      <c r="G17" s="466"/>
    </row>
    <row r="18" spans="1:7" ht="14.25" thickTop="1" thickBot="1">
      <c r="A18" s="851" t="str">
        <f>Datos!A18</f>
        <v>TOTAL</v>
      </c>
      <c r="B18" s="861">
        <f>IF(ISNUMBER(NºAsuntos!G18/NºAsuntos!E18),NºAsuntos!G18/NºAsuntos!E18," - ")</f>
        <v>0.79411764705882348</v>
      </c>
      <c r="C18" s="862">
        <f>IF(ISNUMBER(NºAsuntos!I18/NºAsuntos!G18),NºAsuntos!I18/NºAsuntos!G18," - ")</f>
        <v>1.8806584362139918</v>
      </c>
      <c r="D18" s="865">
        <f>IF(ISNUMBER('Resol  Asuntos'!D18/NºAsuntos!G18),'Resol  Asuntos'!D18/NºAsuntos!G18," - ")</f>
        <v>0.29218106995884774</v>
      </c>
      <c r="E18" s="864">
        <f>IF(ISNUMBER((NºAsuntos!C18+NºAsuntos!E18)/NºAsuntos!G18),(NºAsuntos!C18+NºAsuntos!E18)/NºAsuntos!G18," - ")</f>
        <v>2.8600823045267489</v>
      </c>
      <c r="G18" s="466"/>
    </row>
    <row r="19" spans="1:7" ht="15.75" customHeight="1" thickTop="1" thickBot="1">
      <c r="A19" s="796" t="str">
        <f>Datos!A19</f>
        <v>TOTAL JURISDICCIONES</v>
      </c>
      <c r="B19" s="811">
        <f>IF(ISNUMBER(NºAsuntos!G19/NºAsuntos!E19),NºAsuntos!G19/NºAsuntos!E19," - ")</f>
        <v>0.70028409090909094</v>
      </c>
      <c r="C19" s="812">
        <f>IF(ISNUMBER(NºAsuntos!I19/NºAsuntos!G19),NºAsuntos!I19/NºAsuntos!G19," - ")</f>
        <v>3.0446247464503045</v>
      </c>
      <c r="D19" s="813">
        <f>IF(ISNUMBER('Resol  Asuntos'!D19/NºAsuntos!G19),'Resol  Asuntos'!D19/NºAsuntos!G19," - ")</f>
        <v>0.25963488843813387</v>
      </c>
      <c r="E19" s="814">
        <f>IF(ISNUMBER((NºAsuntos!C19+NºAsuntos!E19)/NºAsuntos!G19),(NºAsuntos!C19+NºAsuntos!E19)/NºAsuntos!G19," - ")</f>
        <v>4.0344827586206895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tfvK8FRRI8nt+Sh6xCVkf0DmElQ67+WJPRvsPWT9p3hYV160Zr4pUZa/nx8QR0hAL7YFOH7g/zDOwiOFyaVDg==" saltValue="cIJaJZwAvQsTLfP+u2M44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LAVIANA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8</v>
      </c>
      <c r="AB10" s="337">
        <f>IF(ISNUMBER(Datos!R10),Datos!R10," - ")</f>
        <v>0</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34</v>
      </c>
      <c r="Y12" s="337">
        <f t="shared" si="0"/>
        <v>34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996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57</v>
      </c>
      <c r="AJ12" s="232" t="str">
        <f>IF(ISNUMBER(Datos!BW12),Datos!BW12," - ")</f>
        <v xml:space="preserve"> - </v>
      </c>
      <c r="AK12" s="231" t="str">
        <f>IF(ISNUMBER(Datos!BX12),Datos!BX12," - ")</f>
        <v xml:space="preserve"> - </v>
      </c>
      <c r="AL12" s="246">
        <f>IF(ISNUMBER(NºAsuntos!G12/NºAsuntos!E12),NºAsuntos!G12/NºAsuntos!E12," - ")</f>
        <v>0.62972292191435764</v>
      </c>
      <c r="AM12" s="263">
        <f>IF(ISNUMBER(((NºAsuntos!I12/NºAsuntos!G12)*11)/factor_trimestre),((NºAsuntos!I12/NºAsuntos!G12)*11)/factor_trimestre," - ")</f>
        <v>12.432000000000002</v>
      </c>
      <c r="AN12" s="247">
        <f>IF(ISNUMBER('Resol  Asuntos'!D12/NºAsuntos!G12),'Resol  Asuntos'!D12/NºAsuntos!G12," - ")</f>
        <v>0.22800000000000001</v>
      </c>
      <c r="AO12" s="248">
        <f>IF(ISNUMBER((NºAsuntos!C12+NºAsuntos!E12)/NºAsuntos!G12),(NºAsuntos!C12+NºAsuntos!E12)/NºAsuntos!G12," - ")</f>
        <v>5.1440000000000001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34</v>
      </c>
      <c r="Y13" s="871">
        <f t="shared" si="4"/>
        <v>34</v>
      </c>
      <c r="Z13" s="871">
        <f t="shared" si="4"/>
        <v>0</v>
      </c>
      <c r="AA13" s="871">
        <f t="shared" si="4"/>
        <v>8</v>
      </c>
      <c r="AB13" s="871">
        <f t="shared" si="4"/>
        <v>996</v>
      </c>
      <c r="AC13" s="871">
        <f t="shared" si="4"/>
        <v>8</v>
      </c>
      <c r="AD13" s="871">
        <f t="shared" si="4"/>
        <v>0</v>
      </c>
      <c r="AE13" s="875">
        <f t="shared" si="4"/>
        <v>0</v>
      </c>
      <c r="AF13" s="868">
        <f t="shared" si="4"/>
        <v>0</v>
      </c>
      <c r="AG13" s="876">
        <f t="shared" si="4"/>
        <v>0</v>
      </c>
      <c r="AH13" s="873">
        <f t="shared" si="4"/>
        <v>0</v>
      </c>
      <c r="AI13" s="868">
        <f t="shared" si="4"/>
        <v>57</v>
      </c>
      <c r="AJ13" s="870">
        <f t="shared" si="4"/>
        <v>0</v>
      </c>
      <c r="AK13" s="873">
        <f>SUBTOTAL(9,AK9:AK12)</f>
        <v>0</v>
      </c>
      <c r="AL13" s="877">
        <f>IF(ISNUMBER(NºAsuntos!G13/NºAsuntos!E13),NºAsuntos!G13/NºAsuntos!E13," - ")</f>
        <v>0.62814070351758799</v>
      </c>
      <c r="AM13" s="877">
        <f>IF(ISNUMBER(((NºAsuntos!I13/NºAsuntos!G13)*11)/factor_trimestre),((NºAsuntos!I13/NºAsuntos!G13)*11)/factor_trimestre," - ")</f>
        <v>12.528</v>
      </c>
      <c r="AN13" s="878">
        <f>IF(ISNUMBER('Resol  Asuntos'!D13/NºAsuntos!G13),'Resol  Asuntos'!D13/NºAsuntos!G13," - ")</f>
        <v>0.22800000000000001</v>
      </c>
      <c r="AO13" s="879">
        <f>IF(ISNUMBER((NºAsuntos!C13+NºAsuntos!E13)/NºAsuntos!G13),(NºAsuntos!C13+NºAsuntos!E13)/NºAsuntos!G13," - ")</f>
        <v>5.1760000000000002</v>
      </c>
      <c r="AP13" s="880" t="str">
        <f t="shared" si="2"/>
        <v xml:space="preserve"> - </v>
      </c>
      <c r="AQ13" s="880">
        <f>IF(ISNUMBER((H13-W13+K13)/(F13)),(H13-W13+K13)/(F13)," - ")</f>
        <v>0</v>
      </c>
      <c r="AR13" s="881">
        <f>IF(ISNUMBER((Datos!P13-Datos!Q13)/(Datos!R13-Datos!P13+Datos!Q13)),(Datos!P13-Datos!Q13)/(Datos!R13-Datos!P13+Datos!Q13)," - ")</f>
        <v>4.1841004184100417E-2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360</v>
      </c>
      <c r="G16" s="336">
        <f>IF(ISNUMBER(IF(D_I="SI",Datos!I16,Datos!I16+Datos!AC16)),IF(D_I="SI",Datos!I16,Datos!I16+Datos!AC16)," - ")</f>
        <v>355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224</v>
      </c>
      <c r="X16" s="229">
        <f>IF(ISNUMBER(Datos!Q16),Datos!Q16," - ")</f>
        <v>8</v>
      </c>
      <c r="Y16" s="337">
        <f t="shared" ref="Y16:Y17" si="7">SUM(W16:X16)</f>
        <v>232</v>
      </c>
      <c r="Z16" s="338" t="str">
        <f>IF(ISNUMBER(Datos!CC16),Datos!CC16," - ")</f>
        <v xml:space="preserve"> - </v>
      </c>
      <c r="AA16" s="335">
        <f>IF(ISNUMBER(IF(D_I="SI",Datos!L16,Datos!L16+Datos!AF16)),IF(D_I="SI",Datos!L16,Datos!L16+Datos!AF16)," - ")</f>
        <v>412</v>
      </c>
      <c r="AB16" s="337">
        <f>IF(ISNUMBER(Datos!R16),Datos!R16," - ")</f>
        <v>52</v>
      </c>
      <c r="AC16" s="337">
        <f t="shared" si="6"/>
        <v>464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62</v>
      </c>
      <c r="AJ16" s="234" t="str">
        <f>IF(ISNUMBER(Datos!BW16),Datos!BW16," - ")</f>
        <v xml:space="preserve"> - </v>
      </c>
      <c r="AK16" s="235" t="str">
        <f>IF(ISNUMBER(Datos!BX16),Datos!BX16," - ")</f>
        <v xml:space="preserve"> - </v>
      </c>
      <c r="AL16" s="246">
        <f>IF(ISNUMBER(NºAsuntos!G16/NºAsuntos!E16),NºAsuntos!G16/NºAsuntos!E16," - ")</f>
        <v>0.81159420289855078</v>
      </c>
      <c r="AM16" s="263">
        <f>IF(ISNUMBER(((NºAsuntos!I16/NºAsuntos!G16)*11)/factor_trimestre),((NºAsuntos!I16/NºAsuntos!G16)*11)/factor_trimestre," - ")</f>
        <v>5.5178571428571432</v>
      </c>
      <c r="AN16" s="247">
        <f>IF(ISNUMBER('Resol  Asuntos'!D16/NºAsuntos!G16),'Resol  Asuntos'!D16/NºAsuntos!G16," - ")</f>
        <v>0.2767857142857143</v>
      </c>
      <c r="AO16" s="248">
        <f>IF(ISNUMBER((NºAsuntos!C16+NºAsuntos!E16)/NºAsuntos!G16),(NºAsuntos!C16+NºAsuntos!E16)/NºAsuntos!G16," - ")</f>
        <v>2.8169642857142856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45</v>
      </c>
      <c r="AB17" s="337">
        <f>IF(ISNUMBER(Datos!R17),Datos!R17," - ")</f>
        <v>0</v>
      </c>
      <c r="AC17" s="337">
        <f t="shared" si="6"/>
        <v>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0.6333333333333333</v>
      </c>
      <c r="AM17" s="263">
        <f>IF(ISNUMBER(((NºAsuntos!I17/NºAsuntos!G17)*11)/factor_trimestre),((NºAsuntos!I17/NºAsuntos!G17)*11)/factor_trimestre," - ")</f>
        <v>7.1052631578947363</v>
      </c>
      <c r="AN17" s="247">
        <f>IF(ISNUMBER('Resol  Asuntos'!D17/NºAsuntos!G17),'Resol  Asuntos'!D17/NºAsuntos!G17," - ")</f>
        <v>0.47368421052631576</v>
      </c>
      <c r="AO17" s="248">
        <f>IF(ISNUMBER((NºAsuntos!C17+NºAsuntos!E17)/NºAsuntos!G17),(NºAsuntos!C17+NºAsuntos!E17)/NºAsuntos!G17," - ")</f>
        <v>3.3684210526315788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360</v>
      </c>
      <c r="G18" s="869">
        <f>SUBTOTAL(9,G15:G17)</f>
        <v>389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243</v>
      </c>
      <c r="X18" s="870">
        <f t="shared" si="11"/>
        <v>8</v>
      </c>
      <c r="Y18" s="871">
        <f t="shared" si="11"/>
        <v>251</v>
      </c>
      <c r="Z18" s="871">
        <f t="shared" si="11"/>
        <v>0</v>
      </c>
      <c r="AA18" s="871">
        <f t="shared" si="11"/>
        <v>457</v>
      </c>
      <c r="AB18" s="871">
        <f t="shared" si="11"/>
        <v>52</v>
      </c>
      <c r="AC18" s="871">
        <f t="shared" si="11"/>
        <v>509</v>
      </c>
      <c r="AD18" s="871">
        <f t="shared" si="11"/>
        <v>0</v>
      </c>
      <c r="AE18" s="875">
        <f t="shared" si="11"/>
        <v>0</v>
      </c>
      <c r="AF18" s="868">
        <f t="shared" si="11"/>
        <v>0</v>
      </c>
      <c r="AG18" s="876">
        <f t="shared" si="11"/>
        <v>0</v>
      </c>
      <c r="AH18" s="873">
        <f t="shared" si="11"/>
        <v>0</v>
      </c>
      <c r="AI18" s="868">
        <f t="shared" si="11"/>
        <v>71</v>
      </c>
      <c r="AJ18" s="870">
        <f t="shared" si="11"/>
        <v>0</v>
      </c>
      <c r="AK18" s="873">
        <f t="shared" si="11"/>
        <v>0</v>
      </c>
      <c r="AL18" s="877">
        <f>IF(ISNUMBER(NºAsuntos!G18/NºAsuntos!E18),NºAsuntos!G18/NºAsuntos!E18," - ")</f>
        <v>0.79411764705882348</v>
      </c>
      <c r="AM18" s="877">
        <f>IF(ISNUMBER(((NºAsuntos!I18/NºAsuntos!G18)*11)/factor_trimestre),((NºAsuntos!I18/NºAsuntos!G18)*11)/factor_trimestre," - ")</f>
        <v>5.6419753086419755</v>
      </c>
      <c r="AN18" s="878">
        <f>IF(ISNUMBER('Resol  Asuntos'!D18/NºAsuntos!G18),'Resol  Asuntos'!D18/NºAsuntos!G18," - ")</f>
        <v>0.29218106995884774</v>
      </c>
      <c r="AO18" s="879">
        <f>IF(ISNUMBER((NºAsuntos!C18+NºAsuntos!E18)/NºAsuntos!G18),(NºAsuntos!C18+NºAsuntos!E18)/NºAsuntos!G18," - ")</f>
        <v>2.8600823045267489</v>
      </c>
      <c r="AP18" s="880" t="str">
        <f t="shared" si="2"/>
        <v xml:space="preserve"> - </v>
      </c>
      <c r="AQ18" s="880">
        <f>IF(ISNUMBER((H18-W18+K18)/(F18)),(H18-W18+K18)/(F18)," - ")</f>
        <v>-0.67500000000000004</v>
      </c>
      <c r="AR18" s="881">
        <f>IF(ISNUMBER((Datos!P18-Datos!Q18)/(Datos!R18-Datos!P18+Datos!Q18)),(Datos!P18-Datos!Q18)/(Datos!R18-Datos!P18+Datos!Q18)," - ")</f>
        <v>-5.4545454545454543E-2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367</v>
      </c>
      <c r="G19" s="824">
        <f t="shared" si="13"/>
        <v>396</v>
      </c>
      <c r="H19" s="823">
        <f t="shared" si="13"/>
        <v>0</v>
      </c>
      <c r="I19" s="825">
        <f t="shared" si="13"/>
        <v>0</v>
      </c>
      <c r="J19" s="825">
        <f t="shared" si="13"/>
        <v>0</v>
      </c>
      <c r="K19" s="884">
        <f t="shared" si="13"/>
        <v>0</v>
      </c>
      <c r="L19" s="825">
        <f t="shared" si="13"/>
        <v>79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243</v>
      </c>
      <c r="X19" s="824">
        <f t="shared" si="14"/>
        <v>42</v>
      </c>
      <c r="Y19" s="831">
        <f t="shared" si="14"/>
        <v>285</v>
      </c>
      <c r="Z19" s="831">
        <f t="shared" si="14"/>
        <v>0</v>
      </c>
      <c r="AA19" s="831">
        <f t="shared" si="14"/>
        <v>465</v>
      </c>
      <c r="AB19" s="831">
        <f t="shared" si="14"/>
        <v>1048</v>
      </c>
      <c r="AC19" s="831">
        <f t="shared" si="14"/>
        <v>517</v>
      </c>
      <c r="AD19" s="831">
        <f t="shared" si="14"/>
        <v>0</v>
      </c>
      <c r="AE19" s="833">
        <f t="shared" si="14"/>
        <v>0</v>
      </c>
      <c r="AF19" s="834">
        <f t="shared" si="14"/>
        <v>0</v>
      </c>
      <c r="AG19" s="835">
        <f t="shared" si="14"/>
        <v>0</v>
      </c>
      <c r="AH19" s="833">
        <f t="shared" si="14"/>
        <v>0</v>
      </c>
      <c r="AI19" s="823">
        <f t="shared" si="14"/>
        <v>128</v>
      </c>
      <c r="AJ19" s="823">
        <f t="shared" si="14"/>
        <v>0</v>
      </c>
      <c r="AK19" s="833">
        <f t="shared" si="14"/>
        <v>0</v>
      </c>
      <c r="AL19" s="887">
        <f>IF(ISNUMBER(NºAsuntos!G19/NºAsuntos!E19),NºAsuntos!G19/NºAsuntos!E19," - ")</f>
        <v>0.70028409090909094</v>
      </c>
      <c r="AM19" s="888">
        <f>IF(ISNUMBER(((NºAsuntos!I19/NºAsuntos!G19)*11)/factor_trimestre),((NºAsuntos!I19/NºAsuntos!G19)*11)/factor_trimestre," - ")</f>
        <v>9.1338742393509129</v>
      </c>
      <c r="AN19" s="888">
        <f>IF(ISNUMBER('Resol  Asuntos'!D19/NºAsuntos!G19),'Resol  Asuntos'!D19/NºAsuntos!G19," - ")</f>
        <v>0.25963488843813387</v>
      </c>
      <c r="AO19" s="889">
        <f>IF(ISNUMBER((NºAsuntos!C19+NºAsuntos!E19)/NºAsuntos!G19),(NºAsuntos!C19+NºAsuntos!E19)/NºAsuntos!G19," - ")</f>
        <v>4.0344827586206895</v>
      </c>
      <c r="AP19" s="890" t="str">
        <f t="shared" si="2"/>
        <v xml:space="preserve"> - </v>
      </c>
      <c r="AQ19" s="891">
        <f>IF(OR(ISNUMBER(FIND("01",Criterios!A8,1)),ISNUMBER(FIND("02",Criterios!A8,1)),ISNUMBER(FIND("03",Criterios!A8,1)),ISNUMBER(FIND("04",Criterios!A8,1))),(I19-W19+K19)/(F19-K19),(H19-W19+K19)/(F19-K19))</f>
        <v>-0.66212534059945505</v>
      </c>
      <c r="AR19" s="892">
        <f>IF(ISNUMBER((Datos!P19-Datos!Q19)/(Datos!R19-Datos!P19+Datos!Q19)),(Datos!P19-Datos!Q19)/(Datos!R19-Datos!P19+Datos!Q19)," - ")</f>
        <v>3.6597428288822946E-2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203.80464502393789</v>
      </c>
      <c r="G21" s="256">
        <f>IF(ISNUMBER(STDEV(G8:G18)),STDEV(G8:G18),"-")</f>
        <v>195.67013057694831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124.84670600380292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30.137462843886954</v>
      </c>
      <c r="AJ21" s="255">
        <f t="shared" si="18"/>
        <v>0</v>
      </c>
      <c r="AK21" s="257">
        <f t="shared" si="18"/>
        <v>0</v>
      </c>
      <c r="AL21" s="252">
        <f t="shared" si="18"/>
        <v>0.29781502011801425</v>
      </c>
      <c r="AM21" s="253">
        <f t="shared" si="18"/>
        <v>3.5562278922684913</v>
      </c>
      <c r="AN21" s="253">
        <f t="shared" si="18"/>
        <v>0.10140744517950946</v>
      </c>
      <c r="AO21" s="254">
        <f t="shared" si="18"/>
        <v>1.1946823383267238</v>
      </c>
      <c r="AP21" s="294" t="str">
        <f t="shared" si="18"/>
        <v>-</v>
      </c>
      <c r="AQ21" s="295">
        <f t="shared" si="18"/>
        <v>0.47729707730091964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xiHJvqHHungqitZrF0OvLXbpKY3ATrgf4PpIRDUEgocwzdGo7CO9hgY3Mjru33wyJ5BX2au9LpyqIEIyklNxw==" saltValue="HokdLYfC5Jr/iNCVOwAe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LAVIANA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2.5</v>
      </c>
      <c r="E10" s="351">
        <f>IF(ISNUMBER((Datos!J10-Datos!T10)/Datos!T10),(Datos!J10-Datos!T10)/Datos!T10," - ")</f>
        <v>0</v>
      </c>
      <c r="F10" s="351" t="str">
        <f>IF(ISNUMBER((Datos!K10-Datos!U10)/Datos!U10),(Datos!K10-Datos!U10)/Datos!U10," - ")</f>
        <v xml:space="preserve"> - </v>
      </c>
      <c r="G10" s="352">
        <f>IF(ISNUMBER((Datos!L10-Datos!V10)/Datos!V10),(Datos!L10-Datos!V10)/Datos!V10," - ")</f>
        <v>1.6666666666666667</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-0.22972972972972974</v>
      </c>
      <c r="I12" s="353">
        <f>IF(ISNUMBER((Tasas!C12-Datos!BE12)/Datos!BE12),(Tasas!C12-Datos!BE12)/Datos!BE12," - ")</f>
        <v>0.24202272727272739</v>
      </c>
      <c r="J12" s="352">
        <f>IF(ISNUMBER((Tasas!D12-Datos!BF12)/Datos!BF12),(Tasas!D12-Datos!BF12)/Datos!BF12," - ")</f>
        <v>-0.14092857142857146</v>
      </c>
      <c r="K12" s="354">
        <f>IF(ISNUMBER((Tasas!E12-Datos!BG12)/Datos!BG12),(Tasas!E12-Datos!BG12)/Datos!BG12," - ")</f>
        <v>0.18621202185792357</v>
      </c>
      <c r="M12" t="e">
        <f>IF(Monitorios="SI",Datos!CE12,0)</f>
        <v>#REF!</v>
      </c>
      <c r="N12" t="e">
        <f>IF(Monitorios="SI",Datos!CF12,0)</f>
        <v>#REF!</v>
      </c>
      <c r="O12" t="e">
        <f>IF(Monitorios="SI",Datos!CG12,0)</f>
        <v>#REF!</v>
      </c>
      <c r="P12" t="e">
        <f>IF(Monitorios="SI",Datos!CH12,0)</f>
        <v>#REF!</v>
      </c>
      <c r="Q12">
        <f>IF(J_V="SI",0,Datos!AG12)</f>
        <v>55</v>
      </c>
      <c r="R12">
        <f>IF(J_V="SI",0,Datos!AH12)</f>
        <v>23</v>
      </c>
      <c r="S12">
        <f>IF(J_V="SI",0,Datos!AI12)</f>
        <v>28</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-0.22972972972972974</v>
      </c>
      <c r="I13" s="360">
        <f>IF(ISNUMBER((Tasas!C13-Datos!BE13)/Datos!BE13),(Tasas!C13-Datos!BE13)/Datos!BE13," - ")</f>
        <v>0.24630268741159841</v>
      </c>
      <c r="J13" s="358">
        <f>IF(ISNUMBER((Tasas!D13-Datos!BF13)/Datos!BF13),(Tasas!D13-Datos!BF13)/Datos!BF13," - ")</f>
        <v>-0.14092857142857146</v>
      </c>
      <c r="K13" s="361">
        <f>IF(ISNUMBER((Tasas!E13-Datos!BG13)/Datos!BG13),(Tasas!E13-Datos!BG13)/Datos!BG13," - ")</f>
        <v>0.18969063180827883</v>
      </c>
      <c r="M13" t="e">
        <f>IF(Monitorios="SI",Datos!CE13,0)</f>
        <v>#REF!</v>
      </c>
      <c r="N13" t="e">
        <f>IF(Monitorios="SI",Datos!CF13,0)</f>
        <v>#REF!</v>
      </c>
      <c r="O13" t="e">
        <f>IF(Monitorios="SI",Datos!CG13,0)</f>
        <v>#REF!</v>
      </c>
      <c r="P13" t="e">
        <f>IF(Monitorios="SI",Datos!CH13,0)</f>
        <v>#REF!</v>
      </c>
      <c r="Q13">
        <f>IF(J_V="SI",0,Datos!AG13)</f>
        <v>55</v>
      </c>
      <c r="R13">
        <f>IF(J_V="SI",0,Datos!AH13)</f>
        <v>23</v>
      </c>
      <c r="S13">
        <f>IF(J_V="SI",0,Datos!AI13)</f>
        <v>28</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0.37596899224806202</v>
      </c>
      <c r="E16" s="351">
        <f>IF(ISNUMBER(
   IF(D_I="SI",(Datos!J16-Datos!T16)/Datos!T16,(Datos!J16+Datos!AD16-(Datos!T16+Datos!AL16))/(Datos!T16+Datos!AL16))
     ),IF(D_I="SI",(Datos!J16-Datos!T16)/Datos!T16,(Datos!J16+Datos!AD16-(Datos!T16+Datos!AL16))/(Datos!T16+Datos!AL16))," - ")</f>
        <v>0.59537572254335258</v>
      </c>
      <c r="F16" s="351">
        <f>IF(ISNUMBER(
   IF(D_I="SI",(Datos!K16-Datos!U16)/Datos!U16,(Datos!K16+Datos!AE16-(Datos!U16+Datos!AM16))/(Datos!U16+Datos!AM16))
     ),IF(D_I="SI",(Datos!K16-Datos!U16)/Datos!U16,(Datos!K16+Datos!AE16-(Datos!U16+Datos!AM16))/(Datos!U16+Datos!AM16))," - ")</f>
        <v>0.31764705882352939</v>
      </c>
      <c r="G16" s="352">
        <f>IF(ISNUMBER(
   IF(D_I="SI",(Datos!L16-Datos!V16)/Datos!V16,(Datos!L16+Datos!AF16-(Datos!V16+Datos!AN16))/(Datos!V16+Datos!AN16))
     ),IF(D_I="SI",(Datos!L16-Datos!V16)/Datos!V16,(Datos!L16+Datos!AF16-(Datos!V16+Datos!AN16))/(Datos!V16+Datos!AN16))," - ")</f>
        <v>0.57854406130268199</v>
      </c>
      <c r="H16" s="233">
        <f>IF(ISNUMBER((Datos!M16-Datos!W16)/Datos!W16),(Datos!M16-Datos!W16)/Datos!W16," - ")</f>
        <v>1.0666666666666667</v>
      </c>
      <c r="I16" s="353">
        <f>IF(ISNUMBER((Tasas!C16-Datos!BE16)/Datos!BE16),(Tasas!C16-Datos!BE16)/Datos!BE16," - ")</f>
        <v>0.19800218938149958</v>
      </c>
      <c r="J16" s="352">
        <f>IF(ISNUMBER((Tasas!D16-Datos!BF16)/Datos!BF16),(Tasas!D16-Datos!BF16)/Datos!BF16," - ")</f>
        <v>0.56845238095238093</v>
      </c>
      <c r="K16" s="354">
        <f>IF(ISNUMBER((Tasas!E16-Datos!BG16)/Datos!BG16),(Tasas!E16-Datos!BG16)/Datos!BG16," - ")</f>
        <v>0.11109960225389461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0.88888888888888884</v>
      </c>
      <c r="E17" s="351">
        <f>IF(ISNUMBER(
   IF(D_I="SI",(Datos!J17-Datos!T17)/Datos!T17,(Datos!J17+Datos!AD17-(Datos!T17+Datos!AL17))/(Datos!T17+Datos!AL17))
     ),IF(D_I="SI",(Datos!J17-Datos!T17)/Datos!T17,(Datos!J17+Datos!AD17-(Datos!T17+Datos!AL17))/(Datos!T17+Datos!AL17))," - ")</f>
        <v>-0.21052631578947367</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1.5</v>
      </c>
      <c r="H17" s="233">
        <f>IF(ISNUMBER((Datos!M17-Datos!W17)/Datos!W17),(Datos!M17-Datos!W17)/Datos!W17," - ")</f>
        <v>-0.18181818181818182</v>
      </c>
      <c r="I17" s="353">
        <f>IF(ISNUMBER((Tasas!C17-Datos!BE17)/Datos!BE17),(Tasas!C17-Datos!BE17)/Datos!BE17," - ")</f>
        <v>4</v>
      </c>
      <c r="J17" s="352">
        <f>IF(ISNUMBER((Tasas!D17-Datos!BF17)/Datos!BF17),(Tasas!D17-Datos!BF17)/Datos!BF17," - ")</f>
        <v>0.63636363636363624</v>
      </c>
      <c r="K17" s="354">
        <f>IF(ISNUMBER((Tasas!E17-Datos!BG17)/Datos!BG17),(Tasas!E17-Datos!BG17)/Datos!BG17," - ")</f>
        <v>1.2857142857142858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0.40942028985507245</v>
      </c>
      <c r="E18" s="357">
        <f>IF(ISNUMBER(
   IF(D_I="SI",(Datos!J18-Datos!T18)/Datos!T18,(Datos!J18+Datos!AD18-(Datos!T18+Datos!AL18))/(Datos!T18+Datos!AL18))
     ),IF(D_I="SI",(Datos!J18-Datos!T18)/Datos!T18,(Datos!J18+Datos!AD18-(Datos!T18+Datos!AL18))/(Datos!T18+Datos!AL18))," - ")</f>
        <v>0.45023696682464454</v>
      </c>
      <c r="F18" s="357">
        <f>IF(ISNUMBER(
   IF(D_I="SI",(Datos!K18-Datos!U18)/Datos!U18,(Datos!K18+Datos!AE18-(Datos!U18+Datos!AM18))/(Datos!U18+Datos!AM18))
     ),IF(D_I="SI",(Datos!K18-Datos!U18)/Datos!U18,(Datos!K18+Datos!AE18-(Datos!U18+Datos!AM18))/(Datos!U18+Datos!AM18))," - ")</f>
        <v>0.16826923076923078</v>
      </c>
      <c r="G18" s="358">
        <f>IF(ISNUMBER(
   IF(D_I="SI",(Datos!L18-Datos!V18)/Datos!V18,(Datos!L18+Datos!AF18-(Datos!V18+Datos!AN18))/(Datos!V18+Datos!AN18))
     ),IF(D_I="SI",(Datos!L18-Datos!V18)/Datos!V18,(Datos!L18+Datos!AF18-(Datos!V18+Datos!AN18))/(Datos!V18+Datos!AN18))," - ")</f>
        <v>0.63799283154121866</v>
      </c>
      <c r="H18" s="359">
        <f>IF(ISNUMBER((Datos!M18-Datos!W18)/Datos!W18),(Datos!M18-Datos!W18)/Datos!W18," - ")</f>
        <v>0.73170731707317072</v>
      </c>
      <c r="I18" s="360">
        <f>IF(ISNUMBER((Tasas!C18-Datos!BE18)/Datos!BE18),(Tasas!C18-Datos!BE18)/Datos!BE18," - ")</f>
        <v>0.40206793810935598</v>
      </c>
      <c r="J18" s="358">
        <f>IF(ISNUMBER((Tasas!D18-Datos!BF18)/Datos!BF18),(Tasas!D18-Datos!BF18)/Datos!BF18," - ")</f>
        <v>0.48228445247415441</v>
      </c>
      <c r="K18" s="361">
        <f>IF(ISNUMBER((Tasas!E18-Datos!BG18)/Datos!BG18),(Tasas!E18-Datos!BG18)/Datos!BG18," - ")</f>
        <v>0.22155465983894004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0.4804147465437788</v>
      </c>
      <c r="E19" s="366">
        <f>IF(ISNUMBER(
   IF(J_V="SI",(Datos!J19-Datos!T19)/Datos!T19,(Datos!J19+Datos!Z19-(Datos!T19+Datos!AH19))/(Datos!T19+Datos!AH19))
     ),IF(J_V="SI",(Datos!J19-Datos!T19)/Datos!T19,(Datos!J19+Datos!Z19-(Datos!T19+Datos!AH19))/(Datos!T19+Datos!AH19))," - ")</f>
        <v>0.31098696461824954</v>
      </c>
      <c r="F19" s="366">
        <f>IF(ISNUMBER(
   IF(J_V="SI",(Datos!K19-Datos!U19)/Datos!U19,(Datos!K19+Datos!AA19-(Datos!U19+Datos!AI19))/(Datos!U19+Datos!AI19))
     ),IF(J_V="SI",(Datos!K19-Datos!U19)/Datos!U19,(Datos!K19+Datos!AA19-(Datos!U19+Datos!AI19))/(Datos!U19+Datos!AI19))," - ")</f>
        <v>0.1766109785202864</v>
      </c>
      <c r="G19" s="367">
        <f>IF(ISNUMBER(
   IF(J_V="SI",(Datos!L19-Datos!V19)/Datos!V19,(Datos!L19+Datos!AB19-(Datos!V19+Datos!AJ19))/(Datos!V19+Datos!AJ19))
     ),IF(J_V="SI",(Datos!L19-Datos!V19)/Datos!V19,(Datos!L19+Datos!AB19-(Datos!V19+Datos!AJ19))/(Datos!V19+Datos!AJ19))," - ")</f>
        <v>0.52231237322515212</v>
      </c>
      <c r="H19" s="368">
        <f>IF(ISNUMBER((Datos!M19-Datos!W19)/Datos!W19),(Datos!M19-Datos!W19)/Datos!W19," - ")</f>
        <v>0.11304347826086956</v>
      </c>
      <c r="I19" s="365">
        <f>IF(ISNUMBER((Tasas!C19-Datos!BE19)/Datos!BE19),(Tasas!C19-Datos!BE19)/Datos!BE19," - ")</f>
        <v>0.2938111245057583</v>
      </c>
      <c r="J19" s="366">
        <f>IF(ISNUMBER((Tasas!D19-Datos!BF19)/Datos!BF19),(Tasas!D19-Datos!BF19)/Datos!BF19," - ")</f>
        <v>0.12151565211936174</v>
      </c>
      <c r="K19" s="367">
        <f>IF(ISNUMBER((Tasas!E19-Datos!BG19)/Datos!BG19),(Tasas!E19-Datos!BG19)/Datos!BG19," - ")</f>
        <v>0.203166032642042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0.99882456775652551</v>
      </c>
      <c r="E21" s="281">
        <f t="shared" si="1"/>
        <v>0.37734360738158002</v>
      </c>
      <c r="F21" s="281">
        <f t="shared" si="1"/>
        <v>0.43540100541720678</v>
      </c>
      <c r="G21" s="282">
        <f t="shared" si="1"/>
        <v>0.56757011335394636</v>
      </c>
      <c r="H21" s="288">
        <f t="shared" si="1"/>
        <v>0.62129065966972652</v>
      </c>
      <c r="I21" s="280">
        <f t="shared" si="1"/>
        <v>1.6689629766319285</v>
      </c>
      <c r="J21" s="281">
        <f t="shared" si="1"/>
        <v>0.38906138432980936</v>
      </c>
      <c r="K21" s="282">
        <f t="shared" si="1"/>
        <v>0.49742455239015593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7uXRC26RMARSBtMFZCoaJoxBXdGnfQbGgwebhIcZksVF8fk7pTX7YbiWHJt9Uo7gWcMXnhxfG3Z15wRjtj74g==" saltValue="YP65kGUCguM5/5wiEswZ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